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4 рік\сайт\"/>
    </mc:Choice>
  </mc:AlternateContent>
  <bookViews>
    <workbookView xWindow="0" yWindow="0" windowWidth="28800" windowHeight="11880" tabRatio="774"/>
  </bookViews>
  <sheets>
    <sheet name="І півріччя 2024" sheetId="23" r:id="rId1"/>
  </sheets>
  <definedNames>
    <definedName name="_xlnm.Print_Titles" localSheetId="0">'І півріччя 2024'!$3:$5</definedName>
    <definedName name="_xlnm.Print_Area" localSheetId="0">'І півріччя 2024'!$A$1:$V$119</definedName>
  </definedNames>
  <calcPr calcId="162913"/>
</workbook>
</file>

<file path=xl/calcChain.xml><?xml version="1.0" encoding="utf-8"?>
<calcChain xmlns="http://schemas.openxmlformats.org/spreadsheetml/2006/main">
  <c r="F8" i="23" l="1"/>
  <c r="F9" i="23" l="1"/>
  <c r="T74" i="23" l="1"/>
  <c r="P92" i="23" l="1"/>
  <c r="P91" i="23"/>
  <c r="P90" i="23"/>
  <c r="P89" i="23"/>
  <c r="P87" i="23"/>
  <c r="P86" i="23"/>
  <c r="P52" i="23"/>
  <c r="P51" i="23"/>
  <c r="P50" i="23"/>
  <c r="P48" i="23"/>
  <c r="P47" i="23"/>
  <c r="P46" i="23"/>
  <c r="P45" i="23"/>
  <c r="P44" i="23"/>
  <c r="P43" i="23"/>
  <c r="P42" i="23"/>
  <c r="P41" i="23"/>
  <c r="P40" i="23"/>
  <c r="P38" i="23"/>
  <c r="P37" i="23"/>
  <c r="P36" i="23"/>
  <c r="P35" i="23"/>
  <c r="P34" i="23"/>
  <c r="P33" i="23"/>
  <c r="P32" i="23"/>
  <c r="P31" i="23"/>
  <c r="P30" i="23"/>
  <c r="P29" i="23"/>
  <c r="P28" i="23"/>
  <c r="P23" i="23"/>
  <c r="P22" i="23"/>
  <c r="P21" i="23"/>
  <c r="P19" i="23"/>
  <c r="P18" i="23"/>
  <c r="P15" i="23"/>
  <c r="P14" i="23"/>
  <c r="P13" i="23"/>
  <c r="P12" i="23"/>
  <c r="P10" i="23"/>
  <c r="P7" i="23"/>
  <c r="P83" i="23"/>
  <c r="F7" i="23"/>
  <c r="A56" i="23"/>
  <c r="A57" i="23" s="1"/>
  <c r="A58" i="23" s="1"/>
  <c r="A59" i="23" s="1"/>
  <c r="A60" i="23" s="1"/>
  <c r="A61" i="23" s="1"/>
  <c r="A62" i="23" s="1"/>
  <c r="A63" i="23" s="1"/>
  <c r="P56" i="23"/>
  <c r="E76" i="23"/>
  <c r="D76" i="23"/>
  <c r="G76" i="23"/>
  <c r="H76" i="23"/>
  <c r="I76" i="23"/>
  <c r="J76" i="23"/>
  <c r="K76" i="23"/>
  <c r="L76" i="23"/>
  <c r="M76" i="23"/>
  <c r="L63" i="23"/>
  <c r="F56" i="23"/>
  <c r="K110" i="23"/>
  <c r="K109" i="23"/>
  <c r="K101" i="23"/>
  <c r="K114" i="23" s="1"/>
  <c r="K100" i="23"/>
  <c r="K113" i="23" s="1"/>
  <c r="K99" i="23"/>
  <c r="K88" i="23"/>
  <c r="K82" i="23"/>
  <c r="K93" i="23" s="1"/>
  <c r="K74" i="23"/>
  <c r="K63" i="23"/>
  <c r="K77" i="23" s="1"/>
  <c r="K75" i="23" s="1"/>
  <c r="K71" i="23" s="1"/>
  <c r="K39" i="23"/>
  <c r="K24" i="23"/>
  <c r="K20" i="23"/>
  <c r="K17" i="23"/>
  <c r="K11" i="23"/>
  <c r="K9" i="23"/>
  <c r="S56" i="23" l="1"/>
  <c r="U56" i="23"/>
  <c r="N56" i="23"/>
  <c r="K98" i="23"/>
  <c r="K97" i="23" s="1"/>
  <c r="O56" i="23"/>
  <c r="R56" i="23"/>
  <c r="K16" i="23"/>
  <c r="K53" i="23" s="1"/>
  <c r="K112" i="23"/>
  <c r="K111" i="23" s="1"/>
  <c r="K108" i="23" s="1"/>
  <c r="Q56" i="23"/>
  <c r="K102" i="23"/>
  <c r="F44" i="23"/>
  <c r="K54" i="23" l="1"/>
  <c r="K104" i="23"/>
  <c r="K105" i="23" s="1"/>
  <c r="K79" i="23"/>
  <c r="K80" i="23" s="1"/>
  <c r="J110" i="23"/>
  <c r="J109" i="23"/>
  <c r="J101" i="23"/>
  <c r="J100" i="23"/>
  <c r="J99" i="23"/>
  <c r="J88" i="23"/>
  <c r="J82" i="23"/>
  <c r="J93" i="23" s="1"/>
  <c r="J74" i="23"/>
  <c r="J69" i="23"/>
  <c r="J63" i="23"/>
  <c r="J77" i="23" s="1"/>
  <c r="J75" i="23" s="1"/>
  <c r="J71" i="23" s="1"/>
  <c r="J39" i="23"/>
  <c r="J24" i="23"/>
  <c r="J20" i="23"/>
  <c r="J17" i="23"/>
  <c r="J11" i="23"/>
  <c r="J9" i="23"/>
  <c r="K116" i="23" l="1"/>
  <c r="K117" i="23" s="1"/>
  <c r="J16" i="23"/>
  <c r="J53" i="23" s="1"/>
  <c r="J79" i="23" s="1"/>
  <c r="J80" i="23" s="1"/>
  <c r="J98" i="23"/>
  <c r="J97" i="23" s="1"/>
  <c r="J102" i="23" s="1"/>
  <c r="J112" i="23"/>
  <c r="J113" i="23"/>
  <c r="J114" i="23"/>
  <c r="J111" i="23" l="1"/>
  <c r="J108" i="23" s="1"/>
  <c r="J54" i="23"/>
  <c r="J104" i="23"/>
  <c r="N44" i="23"/>
  <c r="U44" i="23"/>
  <c r="Q44" i="23"/>
  <c r="J116" i="23" l="1"/>
  <c r="J117" i="23" s="1"/>
  <c r="J105" i="23"/>
  <c r="P55" i="23" l="1"/>
  <c r="P62" i="23"/>
  <c r="P61" i="23"/>
  <c r="P60" i="23"/>
  <c r="F61" i="23"/>
  <c r="F62" i="23"/>
  <c r="U62" i="23" s="1"/>
  <c r="P67" i="23"/>
  <c r="F67" i="23"/>
  <c r="U67" i="23" s="1"/>
  <c r="Q61" i="23" l="1"/>
  <c r="O62" i="23"/>
  <c r="Q62" i="23"/>
  <c r="N67" i="23"/>
  <c r="N61" i="23"/>
  <c r="Q67" i="23"/>
  <c r="R62" i="23"/>
  <c r="S62" i="23"/>
  <c r="N62" i="23"/>
  <c r="I114" i="23"/>
  <c r="I109" i="23"/>
  <c r="I101" i="23"/>
  <c r="I100" i="23"/>
  <c r="I99" i="23"/>
  <c r="I98" i="23" s="1"/>
  <c r="I97" i="23" s="1"/>
  <c r="I88" i="23"/>
  <c r="I82" i="23"/>
  <c r="I93" i="23" s="1"/>
  <c r="I74" i="23"/>
  <c r="I110" i="23" s="1"/>
  <c r="I63" i="23"/>
  <c r="I39" i="23"/>
  <c r="I24" i="23"/>
  <c r="I20" i="23"/>
  <c r="I17" i="23"/>
  <c r="I11" i="23"/>
  <c r="I9" i="23"/>
  <c r="I112" i="23" l="1"/>
  <c r="I102" i="23"/>
  <c r="I16" i="23"/>
  <c r="I53" i="23" s="1"/>
  <c r="I77" i="23"/>
  <c r="I75" i="23" s="1"/>
  <c r="I71" i="23" s="1"/>
  <c r="I113" i="23"/>
  <c r="I111" i="23" s="1"/>
  <c r="I108" i="23" s="1"/>
  <c r="P96" i="23"/>
  <c r="P101" i="23" s="1"/>
  <c r="P114" i="23" s="1"/>
  <c r="M101" i="23"/>
  <c r="M114" i="23" s="1"/>
  <c r="E101" i="23"/>
  <c r="E114" i="23" s="1"/>
  <c r="T114" i="23"/>
  <c r="G101" i="23"/>
  <c r="G114" i="23" s="1"/>
  <c r="M100" i="23"/>
  <c r="L101" i="23"/>
  <c r="L114" i="23" s="1"/>
  <c r="H101" i="23"/>
  <c r="D101" i="23"/>
  <c r="D114" i="23" s="1"/>
  <c r="F96" i="23"/>
  <c r="I79" i="23" l="1"/>
  <c r="I80" i="23" s="1"/>
  <c r="I54" i="23"/>
  <c r="I104" i="23"/>
  <c r="I105" i="23" s="1"/>
  <c r="F101" i="23"/>
  <c r="O101" i="23" s="1"/>
  <c r="H114" i="23"/>
  <c r="F114" i="23" s="1"/>
  <c r="N114" i="23" s="1"/>
  <c r="R96" i="23"/>
  <c r="S96" i="23"/>
  <c r="N96" i="23"/>
  <c r="U96" i="23"/>
  <c r="O96" i="23"/>
  <c r="Q96" i="23"/>
  <c r="I116" i="23" l="1"/>
  <c r="I117" i="23" s="1"/>
  <c r="Q101" i="23"/>
  <c r="R101" i="23"/>
  <c r="S101" i="23"/>
  <c r="N101" i="23"/>
  <c r="U101" i="23"/>
  <c r="Q114" i="23"/>
  <c r="U114" i="23"/>
  <c r="O114" i="23"/>
  <c r="R114" i="23"/>
  <c r="S114" i="23"/>
  <c r="P69" i="23" l="1"/>
  <c r="F69" i="23"/>
  <c r="F70" i="23"/>
  <c r="P70" i="23"/>
  <c r="E49" i="23"/>
  <c r="P49" i="23" s="1"/>
  <c r="E63" i="23"/>
  <c r="E77" i="23" s="1"/>
  <c r="F55" i="23"/>
  <c r="V55" i="23" s="1"/>
  <c r="F57" i="23"/>
  <c r="H109" i="23"/>
  <c r="H100" i="23"/>
  <c r="H99" i="23"/>
  <c r="H88" i="23"/>
  <c r="H82" i="23"/>
  <c r="H93" i="23" s="1"/>
  <c r="H74" i="23"/>
  <c r="H110" i="23" s="1"/>
  <c r="H63" i="23"/>
  <c r="H77" i="23" s="1"/>
  <c r="H39" i="23"/>
  <c r="H24" i="23"/>
  <c r="H20" i="23"/>
  <c r="H17" i="23"/>
  <c r="H11" i="23"/>
  <c r="H9" i="23"/>
  <c r="T73" i="23"/>
  <c r="U61" i="23"/>
  <c r="N69" i="23" l="1"/>
  <c r="V69" i="23"/>
  <c r="H16" i="23"/>
  <c r="H53" i="23" s="1"/>
  <c r="Q55" i="23"/>
  <c r="H98" i="23"/>
  <c r="H97" i="23" s="1"/>
  <c r="H102" i="23" s="1"/>
  <c r="Q70" i="23"/>
  <c r="H75" i="23"/>
  <c r="H71" i="23" s="1"/>
  <c r="U70" i="23"/>
  <c r="S70" i="23"/>
  <c r="O70" i="23"/>
  <c r="R70" i="23"/>
  <c r="N70" i="23"/>
  <c r="N55" i="23"/>
  <c r="S69" i="23"/>
  <c r="R69" i="23"/>
  <c r="U69" i="23"/>
  <c r="Q69" i="23"/>
  <c r="O69" i="23"/>
  <c r="H112" i="23"/>
  <c r="U55" i="23"/>
  <c r="H113" i="23"/>
  <c r="H79" i="23" l="1"/>
  <c r="H80" i="23" s="1"/>
  <c r="H111" i="23"/>
  <c r="H108" i="23" s="1"/>
  <c r="H104" i="23"/>
  <c r="H54" i="23"/>
  <c r="H116" i="23" l="1"/>
  <c r="H117" i="23" s="1"/>
  <c r="H105" i="23"/>
  <c r="D74" i="23"/>
  <c r="L100" i="23"/>
  <c r="G100" i="23"/>
  <c r="P95" i="23"/>
  <c r="P100" i="23" s="1"/>
  <c r="F85" i="23"/>
  <c r="N85" i="23" s="1"/>
  <c r="A86" i="23"/>
  <c r="L74" i="23"/>
  <c r="L110" i="23" s="1"/>
  <c r="M74" i="23"/>
  <c r="G74" i="23"/>
  <c r="L109" i="23"/>
  <c r="L99" i="23"/>
  <c r="L88" i="23"/>
  <c r="L82" i="23"/>
  <c r="L93" i="23" s="1"/>
  <c r="L77" i="23"/>
  <c r="P58" i="23"/>
  <c r="P74" i="23" s="1"/>
  <c r="L39" i="23"/>
  <c r="L24" i="23"/>
  <c r="L20" i="23"/>
  <c r="L17" i="23"/>
  <c r="L11" i="23"/>
  <c r="L9" i="23"/>
  <c r="L98" i="23" l="1"/>
  <c r="L97" i="23" s="1"/>
  <c r="L102" i="23" s="1"/>
  <c r="Q85" i="23"/>
  <c r="U85" i="23"/>
  <c r="L113" i="23"/>
  <c r="L112" i="23"/>
  <c r="L75" i="23"/>
  <c r="L71" i="23" s="1"/>
  <c r="L16" i="23"/>
  <c r="L53" i="23" s="1"/>
  <c r="L104" i="23" l="1"/>
  <c r="L105" i="23" s="1"/>
  <c r="L111" i="23"/>
  <c r="L108" i="23" s="1"/>
  <c r="F107" i="23"/>
  <c r="F106" i="23"/>
  <c r="F100" i="23"/>
  <c r="F95" i="23"/>
  <c r="U95" i="23" s="1"/>
  <c r="F94" i="23"/>
  <c r="V94" i="23" s="1"/>
  <c r="F92" i="23"/>
  <c r="F91" i="23"/>
  <c r="F90" i="23"/>
  <c r="F89" i="23"/>
  <c r="F87" i="23"/>
  <c r="F86" i="23"/>
  <c r="F84" i="23"/>
  <c r="F83" i="23"/>
  <c r="F76" i="23"/>
  <c r="F74" i="23"/>
  <c r="V74" i="23" s="1"/>
  <c r="F73" i="23"/>
  <c r="F68" i="23"/>
  <c r="F66" i="23"/>
  <c r="V66" i="23" s="1"/>
  <c r="F65" i="23"/>
  <c r="V65" i="23" s="1"/>
  <c r="F64" i="23"/>
  <c r="V64" i="23" s="1"/>
  <c r="F60" i="23"/>
  <c r="F59" i="23"/>
  <c r="F58" i="23"/>
  <c r="V58" i="23" s="1"/>
  <c r="F52" i="23"/>
  <c r="F51" i="23"/>
  <c r="O51" i="23" s="1"/>
  <c r="F50" i="23"/>
  <c r="F49" i="23"/>
  <c r="F48" i="23"/>
  <c r="V48" i="23" s="1"/>
  <c r="F47" i="23"/>
  <c r="F46" i="23"/>
  <c r="F45" i="23"/>
  <c r="F43" i="23"/>
  <c r="F42" i="23"/>
  <c r="F41" i="23"/>
  <c r="F40" i="23"/>
  <c r="F38" i="23"/>
  <c r="F37" i="23"/>
  <c r="F36" i="23"/>
  <c r="F35" i="23"/>
  <c r="O35" i="23" s="1"/>
  <c r="F34" i="23"/>
  <c r="F33" i="23"/>
  <c r="O33" i="23" s="1"/>
  <c r="F32" i="23"/>
  <c r="O32" i="23" s="1"/>
  <c r="F31" i="23"/>
  <c r="F30" i="23"/>
  <c r="F29" i="23"/>
  <c r="F28" i="23"/>
  <c r="F27" i="23"/>
  <c r="F26" i="23"/>
  <c r="F25" i="23"/>
  <c r="F23" i="23"/>
  <c r="V23" i="23" s="1"/>
  <c r="F22" i="23"/>
  <c r="F21" i="23"/>
  <c r="F19" i="23"/>
  <c r="F18" i="23"/>
  <c r="F15" i="23"/>
  <c r="O15" i="23" s="1"/>
  <c r="F14" i="23"/>
  <c r="F13" i="23"/>
  <c r="F12" i="23"/>
  <c r="O12" i="23" s="1"/>
  <c r="F10" i="23"/>
  <c r="V10" i="23" s="1"/>
  <c r="E100" i="23"/>
  <c r="A95" i="23"/>
  <c r="E74" i="23"/>
  <c r="T9" i="23"/>
  <c r="U73" i="23" l="1"/>
  <c r="V73" i="23"/>
  <c r="O87" i="23"/>
  <c r="S87" i="23"/>
  <c r="O90" i="23"/>
  <c r="V90" i="23"/>
  <c r="R89" i="23"/>
  <c r="S89" i="23"/>
  <c r="O89" i="23"/>
  <c r="Q60" i="23"/>
  <c r="N60" i="23"/>
  <c r="U58" i="23"/>
  <c r="S58" i="23"/>
  <c r="L79" i="23"/>
  <c r="L80" i="23" s="1"/>
  <c r="L54" i="23"/>
  <c r="V31" i="23"/>
  <c r="O31" i="23"/>
  <c r="R95" i="23"/>
  <c r="S95" i="23"/>
  <c r="O95" i="23"/>
  <c r="N95" i="23"/>
  <c r="Q95" i="23"/>
  <c r="R100" i="23"/>
  <c r="S100" i="23"/>
  <c r="O100" i="23"/>
  <c r="L116" i="23"/>
  <c r="L117" i="23" s="1"/>
  <c r="U74" i="23"/>
  <c r="N74" i="23"/>
  <c r="O74" i="23"/>
  <c r="S74" i="23"/>
  <c r="R74" i="23"/>
  <c r="O13" i="23"/>
  <c r="V13" i="23"/>
  <c r="O68" i="23"/>
  <c r="O58" i="23"/>
  <c r="N58" i="23"/>
  <c r="Q58" i="23"/>
  <c r="R58" i="23"/>
  <c r="U23" i="23" l="1"/>
  <c r="T110" i="23"/>
  <c r="P110" i="23"/>
  <c r="M110" i="23"/>
  <c r="G110" i="23"/>
  <c r="F110" i="23" s="1"/>
  <c r="V110" i="23" s="1"/>
  <c r="E110" i="23"/>
  <c r="D110" i="23"/>
  <c r="T109" i="23"/>
  <c r="P109" i="23"/>
  <c r="M109" i="23"/>
  <c r="G109" i="23"/>
  <c r="E109" i="23"/>
  <c r="D109" i="23"/>
  <c r="U100" i="23"/>
  <c r="T99" i="23"/>
  <c r="T98" i="23" s="1"/>
  <c r="T97" i="23" s="1"/>
  <c r="M99" i="23"/>
  <c r="M98" i="23" s="1"/>
  <c r="M97" i="23" s="1"/>
  <c r="G99" i="23"/>
  <c r="E99" i="23"/>
  <c r="E98" i="23" s="1"/>
  <c r="E97" i="23" s="1"/>
  <c r="D99" i="23"/>
  <c r="D98" i="23" s="1"/>
  <c r="D97" i="23" s="1"/>
  <c r="P94" i="23"/>
  <c r="P99" i="23" s="1"/>
  <c r="P98" i="23" s="1"/>
  <c r="P97" i="23" s="1"/>
  <c r="S94" i="23"/>
  <c r="V92" i="23"/>
  <c r="N90" i="23"/>
  <c r="N89" i="23"/>
  <c r="T88" i="23"/>
  <c r="M88" i="23"/>
  <c r="G88" i="23"/>
  <c r="F88" i="23" s="1"/>
  <c r="E88" i="23"/>
  <c r="D88" i="23"/>
  <c r="U87" i="23"/>
  <c r="A87" i="23"/>
  <c r="A88" i="23" s="1"/>
  <c r="N86" i="23"/>
  <c r="U84" i="23"/>
  <c r="P82" i="23"/>
  <c r="P93" i="23" s="1"/>
  <c r="S83" i="23"/>
  <c r="T82" i="23"/>
  <c r="T93" i="23" s="1"/>
  <c r="M82" i="23"/>
  <c r="M93" i="23" s="1"/>
  <c r="G82" i="23"/>
  <c r="G93" i="23" s="1"/>
  <c r="E82" i="23"/>
  <c r="E93" i="23" s="1"/>
  <c r="P131" i="23" s="1"/>
  <c r="P133" i="23" s="1"/>
  <c r="D82" i="23"/>
  <c r="T76" i="23"/>
  <c r="Q74" i="23"/>
  <c r="Q73" i="23"/>
  <c r="P68" i="23"/>
  <c r="R68" i="23" s="1"/>
  <c r="S68" i="23"/>
  <c r="P66" i="23"/>
  <c r="P65" i="23"/>
  <c r="S65" i="23"/>
  <c r="P64" i="23"/>
  <c r="U64" i="23"/>
  <c r="T63" i="23"/>
  <c r="T77" i="23" s="1"/>
  <c r="M63" i="23"/>
  <c r="M77" i="23" s="1"/>
  <c r="G63" i="23"/>
  <c r="G77" i="23" s="1"/>
  <c r="D63" i="23"/>
  <c r="D77" i="23" s="1"/>
  <c r="D113" i="23" s="1"/>
  <c r="P59" i="23"/>
  <c r="S59" i="23"/>
  <c r="P57" i="23"/>
  <c r="P76" i="23" s="1"/>
  <c r="S57" i="23"/>
  <c r="AA53" i="23"/>
  <c r="S52" i="23"/>
  <c r="U51" i="23"/>
  <c r="S50" i="23"/>
  <c r="U48" i="23"/>
  <c r="S46" i="23"/>
  <c r="A46" i="23"/>
  <c r="A47" i="23" s="1"/>
  <c r="A48" i="23" s="1"/>
  <c r="A49" i="23" s="1"/>
  <c r="A50" i="23" s="1"/>
  <c r="A51" i="23" s="1"/>
  <c r="A52" i="23" s="1"/>
  <c r="U45" i="23"/>
  <c r="U42" i="23"/>
  <c r="O41" i="23"/>
  <c r="T39" i="23"/>
  <c r="M39" i="23"/>
  <c r="G39" i="23"/>
  <c r="F39" i="23" s="1"/>
  <c r="E39" i="23"/>
  <c r="P39" i="23" s="1"/>
  <c r="D39" i="23"/>
  <c r="S38" i="23"/>
  <c r="V35" i="23"/>
  <c r="S34" i="23"/>
  <c r="U33" i="23"/>
  <c r="U32" i="23"/>
  <c r="N31" i="23"/>
  <c r="A31" i="23"/>
  <c r="A32" i="23" s="1"/>
  <c r="A33" i="23" s="1"/>
  <c r="A34" i="23" s="1"/>
  <c r="A35" i="23" s="1"/>
  <c r="A36" i="23" s="1"/>
  <c r="A37" i="23" s="1"/>
  <c r="A38" i="23" s="1"/>
  <c r="A39" i="23" s="1"/>
  <c r="S29" i="23"/>
  <c r="S28" i="23"/>
  <c r="E27" i="23"/>
  <c r="P27" i="23" s="1"/>
  <c r="D27" i="23"/>
  <c r="U26" i="23"/>
  <c r="E26" i="23"/>
  <c r="P26" i="23" s="1"/>
  <c r="D26" i="23"/>
  <c r="U25" i="23"/>
  <c r="E25" i="23"/>
  <c r="P25" i="23" s="1"/>
  <c r="D25" i="23"/>
  <c r="W24" i="23"/>
  <c r="T24" i="23"/>
  <c r="M24" i="23"/>
  <c r="G24" i="23"/>
  <c r="F24" i="23" s="1"/>
  <c r="U21" i="23"/>
  <c r="T20" i="23"/>
  <c r="M20" i="23"/>
  <c r="G20" i="23"/>
  <c r="F20" i="23" s="1"/>
  <c r="E20" i="23"/>
  <c r="P20" i="23" s="1"/>
  <c r="D20" i="23"/>
  <c r="S19" i="23"/>
  <c r="W18" i="23"/>
  <c r="O18" i="23"/>
  <c r="T17" i="23"/>
  <c r="M17" i="23"/>
  <c r="G17" i="23"/>
  <c r="F17" i="23" s="1"/>
  <c r="E17" i="23"/>
  <c r="P17" i="23" s="1"/>
  <c r="D17" i="23"/>
  <c r="S13" i="23"/>
  <c r="N12" i="23"/>
  <c r="T11" i="23"/>
  <c r="M11" i="23"/>
  <c r="G11" i="23"/>
  <c r="E11" i="23"/>
  <c r="P11" i="23" s="1"/>
  <c r="D11" i="23"/>
  <c r="Y10" i="23"/>
  <c r="Z10" i="23" s="1"/>
  <c r="A10" i="23"/>
  <c r="M9" i="23"/>
  <c r="G9" i="23"/>
  <c r="E9" i="23"/>
  <c r="P9" i="23" s="1"/>
  <c r="D9" i="23"/>
  <c r="V8" i="23"/>
  <c r="U8" i="23"/>
  <c r="Z7" i="23"/>
  <c r="Y7" i="23"/>
  <c r="C5" i="23"/>
  <c r="D5" i="23" s="1"/>
  <c r="E5" i="23" s="1"/>
  <c r="F5" i="23" s="1"/>
  <c r="G5" i="23" s="1"/>
  <c r="H5" i="23" s="1"/>
  <c r="I5" i="23" s="1"/>
  <c r="J5" i="23" s="1"/>
  <c r="F11" i="23" l="1"/>
  <c r="K5" i="23"/>
  <c r="L5" i="23" s="1"/>
  <c r="N5" i="23" s="1"/>
  <c r="O5" i="23" s="1"/>
  <c r="P5" i="23" s="1"/>
  <c r="Q5" i="23" s="1"/>
  <c r="R5" i="23" s="1"/>
  <c r="D93" i="23"/>
  <c r="D102" i="23" s="1"/>
  <c r="F109" i="23"/>
  <c r="N109" i="23" s="1"/>
  <c r="P102" i="23"/>
  <c r="M102" i="23"/>
  <c r="S110" i="23"/>
  <c r="R110" i="23"/>
  <c r="O110" i="23"/>
  <c r="E102" i="23"/>
  <c r="G98" i="23"/>
  <c r="G97" i="23" s="1"/>
  <c r="G102" i="23" s="1"/>
  <c r="F102" i="23" s="1"/>
  <c r="F99" i="23"/>
  <c r="G113" i="23"/>
  <c r="F113" i="23" s="1"/>
  <c r="F63" i="23"/>
  <c r="U63" i="23" s="1"/>
  <c r="E112" i="23"/>
  <c r="F82" i="23"/>
  <c r="Q82" i="23" s="1"/>
  <c r="T113" i="23"/>
  <c r="M75" i="23"/>
  <c r="M71" i="23" s="1"/>
  <c r="N23" i="23"/>
  <c r="E113" i="23"/>
  <c r="S37" i="23"/>
  <c r="V37" i="23"/>
  <c r="Q23" i="23"/>
  <c r="Q36" i="23"/>
  <c r="Q47" i="23"/>
  <c r="Q48" i="23"/>
  <c r="S48" i="23"/>
  <c r="R50" i="23"/>
  <c r="U52" i="23"/>
  <c r="D112" i="23"/>
  <c r="D111" i="23" s="1"/>
  <c r="D108" i="23" s="1"/>
  <c r="U50" i="23"/>
  <c r="N20" i="23"/>
  <c r="R40" i="23"/>
  <c r="Q43" i="23"/>
  <c r="R91" i="23"/>
  <c r="R14" i="23"/>
  <c r="R25" i="23"/>
  <c r="R27" i="23"/>
  <c r="O50" i="23"/>
  <c r="Q52" i="23"/>
  <c r="Q49" i="23"/>
  <c r="P112" i="23"/>
  <c r="M16" i="23"/>
  <c r="M53" i="23" s="1"/>
  <c r="U34" i="23"/>
  <c r="Q35" i="23"/>
  <c r="U31" i="23"/>
  <c r="N34" i="23"/>
  <c r="S35" i="23"/>
  <c r="U41" i="23"/>
  <c r="O57" i="23"/>
  <c r="Q65" i="23"/>
  <c r="U86" i="23"/>
  <c r="S31" i="23"/>
  <c r="S41" i="23"/>
  <c r="R7" i="23"/>
  <c r="T16" i="23"/>
  <c r="T53" i="23" s="1"/>
  <c r="O34" i="23"/>
  <c r="R65" i="23"/>
  <c r="Q86" i="23"/>
  <c r="O11" i="23"/>
  <c r="R13" i="23"/>
  <c r="R34" i="23"/>
  <c r="V57" i="23"/>
  <c r="Q87" i="23"/>
  <c r="R10" i="23"/>
  <c r="Q15" i="23"/>
  <c r="D16" i="23"/>
  <c r="X24" i="23"/>
  <c r="V25" i="23"/>
  <c r="S32" i="23"/>
  <c r="N48" i="23"/>
  <c r="N50" i="23"/>
  <c r="U90" i="23"/>
  <c r="Q100" i="23"/>
  <c r="O19" i="23"/>
  <c r="Q22" i="23"/>
  <c r="S27" i="23"/>
  <c r="N33" i="23"/>
  <c r="O45" i="23"/>
  <c r="R19" i="23"/>
  <c r="Y27" i="23"/>
  <c r="R33" i="23"/>
  <c r="R45" i="23"/>
  <c r="S91" i="23"/>
  <c r="U94" i="23"/>
  <c r="S18" i="23"/>
  <c r="U19" i="23"/>
  <c r="O26" i="23"/>
  <c r="S33" i="23"/>
  <c r="V45" i="23"/>
  <c r="S14" i="23"/>
  <c r="G16" i="23"/>
  <c r="G53" i="23" s="1"/>
  <c r="U18" i="23"/>
  <c r="V19" i="23"/>
  <c r="U20" i="23"/>
  <c r="V26" i="23"/>
  <c r="R32" i="23"/>
  <c r="V34" i="23"/>
  <c r="W34" i="23" s="1"/>
  <c r="G112" i="23"/>
  <c r="F112" i="23" s="1"/>
  <c r="R90" i="23"/>
  <c r="N100" i="23"/>
  <c r="R39" i="23"/>
  <c r="O39" i="23"/>
  <c r="V39" i="23"/>
  <c r="O29" i="23"/>
  <c r="O21" i="23"/>
  <c r="S25" i="23"/>
  <c r="Q28" i="23"/>
  <c r="Q50" i="23"/>
  <c r="R57" i="23"/>
  <c r="U59" i="23"/>
  <c r="P88" i="23"/>
  <c r="R88" i="23" s="1"/>
  <c r="U12" i="23"/>
  <c r="U15" i="23"/>
  <c r="O20" i="23"/>
  <c r="R21" i="23"/>
  <c r="N25" i="23"/>
  <c r="E24" i="23"/>
  <c r="P24" i="23" s="1"/>
  <c r="R28" i="23"/>
  <c r="Q29" i="23"/>
  <c r="S43" i="23"/>
  <c r="Q13" i="23"/>
  <c r="V15" i="23"/>
  <c r="N19" i="23"/>
  <c r="S20" i="23"/>
  <c r="V21" i="23"/>
  <c r="O25" i="23"/>
  <c r="U29" i="23"/>
  <c r="Q31" i="23"/>
  <c r="N32" i="23"/>
  <c r="Q33" i="23"/>
  <c r="R36" i="23"/>
  <c r="U37" i="23"/>
  <c r="V42" i="23"/>
  <c r="Q46" i="23"/>
  <c r="V50" i="23"/>
  <c r="P63" i="23"/>
  <c r="N76" i="23"/>
  <c r="U88" i="23"/>
  <c r="T102" i="23"/>
  <c r="O94" i="23"/>
  <c r="Q110" i="23"/>
  <c r="V20" i="23"/>
  <c r="N29" i="23"/>
  <c r="Y29" i="23"/>
  <c r="Q32" i="23"/>
  <c r="R35" i="23"/>
  <c r="N37" i="23"/>
  <c r="O43" i="23"/>
  <c r="Q51" i="23"/>
  <c r="R94" i="23"/>
  <c r="S22" i="23"/>
  <c r="O37" i="23"/>
  <c r="U38" i="23"/>
  <c r="S40" i="23"/>
  <c r="R51" i="23"/>
  <c r="Q57" i="23"/>
  <c r="E75" i="23"/>
  <c r="E71" i="23" s="1"/>
  <c r="E16" i="23"/>
  <c r="P16" i="23" s="1"/>
  <c r="V29" i="23"/>
  <c r="N15" i="23"/>
  <c r="O42" i="23"/>
  <c r="Q45" i="23"/>
  <c r="S9" i="23"/>
  <c r="Q12" i="23"/>
  <c r="R29" i="23"/>
  <c r="R37" i="23"/>
  <c r="R43" i="23"/>
  <c r="S51" i="23"/>
  <c r="S10" i="23"/>
  <c r="V32" i="23"/>
  <c r="Q37" i="23"/>
  <c r="N41" i="23"/>
  <c r="R42" i="23"/>
  <c r="R47" i="23"/>
  <c r="O65" i="23"/>
  <c r="Q84" i="23"/>
  <c r="N94" i="23"/>
  <c r="Q9" i="23"/>
  <c r="U10" i="23"/>
  <c r="U22" i="23"/>
  <c r="V30" i="23"/>
  <c r="W30" i="23" s="1"/>
  <c r="O30" i="23"/>
  <c r="U30" i="23"/>
  <c r="N30" i="23"/>
  <c r="U40" i="23"/>
  <c r="Q42" i="23"/>
  <c r="U46" i="23"/>
  <c r="V49" i="23"/>
  <c r="N9" i="23"/>
  <c r="O10" i="23"/>
  <c r="N11" i="23"/>
  <c r="V14" i="23"/>
  <c r="O14" i="23"/>
  <c r="U14" i="23"/>
  <c r="N14" i="23"/>
  <c r="U36" i="23"/>
  <c r="Q38" i="23"/>
  <c r="U47" i="23"/>
  <c r="V59" i="23"/>
  <c r="O59" i="23"/>
  <c r="R59" i="23"/>
  <c r="Q59" i="23"/>
  <c r="S64" i="23"/>
  <c r="M112" i="23"/>
  <c r="N7" i="23"/>
  <c r="U7" i="23"/>
  <c r="O9" i="23"/>
  <c r="U9" i="23"/>
  <c r="N13" i="23"/>
  <c r="R18" i="23"/>
  <c r="X18" i="23"/>
  <c r="Q18" i="23"/>
  <c r="V18" i="23"/>
  <c r="Q19" i="23"/>
  <c r="Q21" i="23"/>
  <c r="V28" i="23"/>
  <c r="O28" i="23"/>
  <c r="U28" i="23"/>
  <c r="R30" i="23"/>
  <c r="Q34" i="23"/>
  <c r="N36" i="23"/>
  <c r="V36" i="23"/>
  <c r="R38" i="23"/>
  <c r="Q40" i="23"/>
  <c r="U43" i="23"/>
  <c r="N47" i="23"/>
  <c r="V47" i="23"/>
  <c r="R49" i="23"/>
  <c r="N59" i="23"/>
  <c r="Q66" i="23"/>
  <c r="U66" i="23"/>
  <c r="N66" i="23"/>
  <c r="R66" i="23"/>
  <c r="S66" i="23"/>
  <c r="V11" i="23"/>
  <c r="U11" i="23"/>
  <c r="V46" i="23"/>
  <c r="W46" i="23" s="1"/>
  <c r="O46" i="23"/>
  <c r="U68" i="23"/>
  <c r="Q68" i="23"/>
  <c r="S7" i="23"/>
  <c r="S12" i="23"/>
  <c r="R12" i="23"/>
  <c r="R20" i="23"/>
  <c r="O22" i="23"/>
  <c r="U24" i="23"/>
  <c r="O24" i="23"/>
  <c r="N24" i="23"/>
  <c r="V27" i="23"/>
  <c r="W27" i="23" s="1"/>
  <c r="O27" i="23"/>
  <c r="U27" i="23"/>
  <c r="N27" i="23"/>
  <c r="Q30" i="23"/>
  <c r="N39" i="23"/>
  <c r="S39" i="23"/>
  <c r="R48" i="23"/>
  <c r="O7" i="23"/>
  <c r="V7" i="23"/>
  <c r="V9" i="23"/>
  <c r="Q10" i="23"/>
  <c r="Q14" i="23"/>
  <c r="N18" i="23"/>
  <c r="R22" i="23"/>
  <c r="V24" i="23"/>
  <c r="Q27" i="23"/>
  <c r="N28" i="23"/>
  <c r="S30" i="23"/>
  <c r="R31" i="23"/>
  <c r="V33" i="23"/>
  <c r="O36" i="23"/>
  <c r="U39" i="23"/>
  <c r="N43" i="23"/>
  <c r="V43" i="23"/>
  <c r="R46" i="23"/>
  <c r="O47" i="23"/>
  <c r="S49" i="23"/>
  <c r="O66" i="23"/>
  <c r="D75" i="23"/>
  <c r="D71" i="23" s="1"/>
  <c r="T112" i="23"/>
  <c r="T75" i="23"/>
  <c r="T71" i="23" s="1"/>
  <c r="U83" i="23"/>
  <c r="N83" i="23"/>
  <c r="Q83" i="23"/>
  <c r="V83" i="23"/>
  <c r="O83" i="23"/>
  <c r="R83" i="23"/>
  <c r="V38" i="23"/>
  <c r="O38" i="23"/>
  <c r="U49" i="23"/>
  <c r="O64" i="23"/>
  <c r="R64" i="23"/>
  <c r="N64" i="23"/>
  <c r="S88" i="23"/>
  <c r="V88" i="23"/>
  <c r="N88" i="23"/>
  <c r="V89" i="23"/>
  <c r="Q89" i="23"/>
  <c r="U89" i="23"/>
  <c r="Q92" i="23"/>
  <c r="U92" i="23"/>
  <c r="N92" i="23"/>
  <c r="R92" i="23"/>
  <c r="S92" i="23"/>
  <c r="R9" i="23"/>
  <c r="N38" i="23"/>
  <c r="N49" i="23"/>
  <c r="Q76" i="23"/>
  <c r="O92" i="23"/>
  <c r="N110" i="23"/>
  <c r="U110" i="23"/>
  <c r="Q7" i="23"/>
  <c r="S11" i="23"/>
  <c r="V40" i="23"/>
  <c r="W40" i="23" s="1"/>
  <c r="O40" i="23"/>
  <c r="N10" i="23"/>
  <c r="V12" i="23"/>
  <c r="U13" i="23"/>
  <c r="S15" i="23"/>
  <c r="R15" i="23"/>
  <c r="N22" i="23"/>
  <c r="V22" i="23"/>
  <c r="D24" i="23"/>
  <c r="Q25" i="23"/>
  <c r="S36" i="23"/>
  <c r="Q39" i="23"/>
  <c r="N40" i="23"/>
  <c r="R41" i="23"/>
  <c r="Q41" i="23"/>
  <c r="V41" i="23"/>
  <c r="W41" i="23" s="1"/>
  <c r="N46" i="23"/>
  <c r="S47" i="23"/>
  <c r="O49" i="23"/>
  <c r="U60" i="23"/>
  <c r="V60" i="23"/>
  <c r="Q64" i="23"/>
  <c r="N68" i="23"/>
  <c r="V84" i="23"/>
  <c r="N84" i="23"/>
  <c r="O88" i="23"/>
  <c r="Q20" i="23"/>
  <c r="S21" i="23"/>
  <c r="S26" i="23"/>
  <c r="U35" i="23"/>
  <c r="S42" i="23"/>
  <c r="S45" i="23"/>
  <c r="N52" i="23"/>
  <c r="R52" i="23"/>
  <c r="R86" i="23"/>
  <c r="V87" i="23"/>
  <c r="N87" i="23"/>
  <c r="R87" i="23"/>
  <c r="U91" i="23"/>
  <c r="N91" i="23"/>
  <c r="Q91" i="23"/>
  <c r="V91" i="23"/>
  <c r="O91" i="23"/>
  <c r="R11" i="23"/>
  <c r="N21" i="23"/>
  <c r="N26" i="23"/>
  <c r="N35" i="23"/>
  <c r="N42" i="23"/>
  <c r="N45" i="23"/>
  <c r="S90" i="23"/>
  <c r="Q90" i="23"/>
  <c r="N51" i="23"/>
  <c r="N57" i="23"/>
  <c r="U57" i="23"/>
  <c r="N65" i="23"/>
  <c r="U65" i="23"/>
  <c r="S86" i="23"/>
  <c r="Q94" i="23"/>
  <c r="O86" i="23"/>
  <c r="V86" i="23"/>
  <c r="R99" i="23" l="1"/>
  <c r="V99" i="23"/>
  <c r="D53" i="23"/>
  <c r="D54" i="23" s="1"/>
  <c r="Q109" i="23"/>
  <c r="U109" i="23"/>
  <c r="P77" i="23"/>
  <c r="P75" i="23" s="1"/>
  <c r="P71" i="23" s="1"/>
  <c r="M79" i="23"/>
  <c r="F93" i="23"/>
  <c r="U93" i="23" s="1"/>
  <c r="S99" i="23"/>
  <c r="V82" i="23"/>
  <c r="S82" i="23"/>
  <c r="O82" i="23"/>
  <c r="T111" i="23"/>
  <c r="T108" i="23" s="1"/>
  <c r="V63" i="23"/>
  <c r="Q24" i="23"/>
  <c r="G75" i="23"/>
  <c r="F75" i="23" s="1"/>
  <c r="F77" i="23"/>
  <c r="O77" i="23" s="1"/>
  <c r="E111" i="23"/>
  <c r="E108" i="23" s="1"/>
  <c r="F97" i="23"/>
  <c r="F98" i="23"/>
  <c r="T5" i="23"/>
  <c r="U5" i="23" s="1"/>
  <c r="V5" i="23" s="1"/>
  <c r="R82" i="23"/>
  <c r="F16" i="23"/>
  <c r="U16" i="23" s="1"/>
  <c r="M113" i="23"/>
  <c r="M111" i="23" s="1"/>
  <c r="M108" i="23" s="1"/>
  <c r="Q88" i="23"/>
  <c r="S63" i="23"/>
  <c r="O63" i="23"/>
  <c r="Y51" i="23"/>
  <c r="T54" i="23"/>
  <c r="T105" i="23" s="1"/>
  <c r="N63" i="23"/>
  <c r="U82" i="23"/>
  <c r="N82" i="23"/>
  <c r="Q11" i="23"/>
  <c r="X53" i="23"/>
  <c r="S24" i="23"/>
  <c r="Q99" i="23"/>
  <c r="N99" i="23"/>
  <c r="O99" i="23"/>
  <c r="P53" i="23"/>
  <c r="R24" i="23"/>
  <c r="U99" i="23"/>
  <c r="R63" i="23"/>
  <c r="Q63" i="23"/>
  <c r="R76" i="23"/>
  <c r="M104" i="23"/>
  <c r="M105" i="23" s="1"/>
  <c r="O76" i="23"/>
  <c r="T104" i="23"/>
  <c r="E53" i="23"/>
  <c r="P129" i="23" s="1"/>
  <c r="U76" i="23"/>
  <c r="S76" i="23"/>
  <c r="V76" i="23"/>
  <c r="M54" i="23"/>
  <c r="Q112" i="23"/>
  <c r="N112" i="23"/>
  <c r="R112" i="23"/>
  <c r="S112" i="23"/>
  <c r="V112" i="23"/>
  <c r="U112" i="23"/>
  <c r="O112" i="23"/>
  <c r="U113" i="23"/>
  <c r="V113" i="23"/>
  <c r="S113" i="23"/>
  <c r="R26" i="23"/>
  <c r="Q26" i="23"/>
  <c r="T79" i="23"/>
  <c r="G111" i="23"/>
  <c r="G108" i="23" s="1"/>
  <c r="V17" i="23"/>
  <c r="U17" i="23"/>
  <c r="O17" i="23"/>
  <c r="S17" i="23"/>
  <c r="N17" i="23"/>
  <c r="Q17" i="23"/>
  <c r="R17" i="23"/>
  <c r="P132" i="23"/>
  <c r="M80" i="23" l="1"/>
  <c r="P113" i="23"/>
  <c r="P111" i="23" s="1"/>
  <c r="P108" i="23" s="1"/>
  <c r="D104" i="23"/>
  <c r="U98" i="23"/>
  <c r="V98" i="23"/>
  <c r="D79" i="23"/>
  <c r="U97" i="23"/>
  <c r="V97" i="23"/>
  <c r="F111" i="23"/>
  <c r="V93" i="23"/>
  <c r="O93" i="23"/>
  <c r="R93" i="23"/>
  <c r="Q93" i="23"/>
  <c r="O102" i="23"/>
  <c r="G71" i="23"/>
  <c r="F71" i="23" s="1"/>
  <c r="N93" i="23"/>
  <c r="R98" i="23"/>
  <c r="S93" i="23"/>
  <c r="Q98" i="23"/>
  <c r="T116" i="23"/>
  <c r="X116" i="23" s="1"/>
  <c r="N98" i="23"/>
  <c r="S98" i="23"/>
  <c r="Q97" i="23"/>
  <c r="O98" i="23"/>
  <c r="Q77" i="23"/>
  <c r="N77" i="23"/>
  <c r="R77" i="23"/>
  <c r="Q16" i="23"/>
  <c r="O113" i="23"/>
  <c r="N97" i="23"/>
  <c r="S97" i="23"/>
  <c r="S77" i="23"/>
  <c r="V77" i="23"/>
  <c r="U77" i="23"/>
  <c r="R97" i="23"/>
  <c r="O97" i="23"/>
  <c r="V16" i="23"/>
  <c r="R16" i="23"/>
  <c r="E79" i="23"/>
  <c r="E80" i="23" s="1"/>
  <c r="O16" i="23"/>
  <c r="S16" i="23"/>
  <c r="N16" i="23"/>
  <c r="F53" i="23"/>
  <c r="N113" i="23"/>
  <c r="D116" i="23"/>
  <c r="D117" i="23" s="1"/>
  <c r="D105" i="23"/>
  <c r="M116" i="23"/>
  <c r="M117" i="23" s="1"/>
  <c r="M126" i="23" s="1"/>
  <c r="T80" i="23"/>
  <c r="T117" i="23" s="1"/>
  <c r="G104" i="23"/>
  <c r="F104" i="23" s="1"/>
  <c r="X102" i="23"/>
  <c r="G54" i="23"/>
  <c r="P104" i="23"/>
  <c r="P79" i="23"/>
  <c r="P80" i="23" s="1"/>
  <c r="P54" i="23"/>
  <c r="P134" i="23"/>
  <c r="P130" i="23"/>
  <c r="E104" i="23"/>
  <c r="E54" i="23"/>
  <c r="F108" i="23"/>
  <c r="D80" i="23"/>
  <c r="Q75" i="23"/>
  <c r="N75" i="23"/>
  <c r="R75" i="23"/>
  <c r="O75" i="23"/>
  <c r="S75" i="23"/>
  <c r="U75" i="23"/>
  <c r="V75" i="23"/>
  <c r="X79" i="23"/>
  <c r="Q113" i="23" l="1"/>
  <c r="R113" i="23"/>
  <c r="N53" i="23"/>
  <c r="S53" i="23"/>
  <c r="G79" i="23"/>
  <c r="F79" i="23" s="1"/>
  <c r="D126" i="23"/>
  <c r="S102" i="23"/>
  <c r="N102" i="23"/>
  <c r="Q102" i="23"/>
  <c r="U102" i="23"/>
  <c r="V102" i="23"/>
  <c r="R102" i="23"/>
  <c r="Q53" i="23"/>
  <c r="V53" i="23"/>
  <c r="X51" i="23"/>
  <c r="Z51" i="23" s="1"/>
  <c r="R53" i="23"/>
  <c r="O53" i="23"/>
  <c r="F54" i="23"/>
  <c r="O54" i="23" s="1"/>
  <c r="U53" i="23"/>
  <c r="E116" i="23"/>
  <c r="E126" i="23" s="1"/>
  <c r="E105" i="23"/>
  <c r="G105" i="23"/>
  <c r="F105" i="23" s="1"/>
  <c r="R104" i="23"/>
  <c r="P105" i="23"/>
  <c r="P116" i="23"/>
  <c r="P117" i="23" s="1"/>
  <c r="S104" i="23"/>
  <c r="G116" i="23"/>
  <c r="F116" i="23" s="1"/>
  <c r="Q71" i="23"/>
  <c r="N71" i="23"/>
  <c r="R71" i="23"/>
  <c r="V71" i="23"/>
  <c r="U71" i="23"/>
  <c r="S71" i="23"/>
  <c r="O71" i="23"/>
  <c r="S111" i="23"/>
  <c r="V111" i="23"/>
  <c r="N111" i="23"/>
  <c r="U111" i="23"/>
  <c r="O111" i="23"/>
  <c r="R111" i="23"/>
  <c r="Q111" i="23"/>
  <c r="G80" i="23" l="1"/>
  <c r="F80" i="23" s="1"/>
  <c r="Q80" i="23" s="1"/>
  <c r="E128" i="23"/>
  <c r="V54" i="23"/>
  <c r="E117" i="23"/>
  <c r="U54" i="23"/>
  <c r="R54" i="23"/>
  <c r="N54" i="23"/>
  <c r="S54" i="23"/>
  <c r="Q54" i="23"/>
  <c r="N104" i="23"/>
  <c r="U104" i="23"/>
  <c r="O104" i="23"/>
  <c r="V104" i="23"/>
  <c r="S105" i="23"/>
  <c r="O105" i="23"/>
  <c r="N105" i="23"/>
  <c r="V105" i="23"/>
  <c r="U105" i="23"/>
  <c r="Q104" i="23"/>
  <c r="Q105" i="23"/>
  <c r="R105" i="23"/>
  <c r="U116" i="23"/>
  <c r="G117" i="23"/>
  <c r="F117" i="23" s="1"/>
  <c r="Q79" i="23"/>
  <c r="N79" i="23"/>
  <c r="R79" i="23"/>
  <c r="O79" i="23"/>
  <c r="S79" i="23"/>
  <c r="V79" i="23"/>
  <c r="U79" i="23"/>
  <c r="Q108" i="23"/>
  <c r="N108" i="23"/>
  <c r="R108" i="23"/>
  <c r="S108" i="23"/>
  <c r="V108" i="23"/>
  <c r="O108" i="23"/>
  <c r="U108" i="23"/>
  <c r="N80" i="23" l="1"/>
  <c r="R80" i="23"/>
  <c r="V80" i="23"/>
  <c r="S80" i="23"/>
  <c r="O80" i="23"/>
  <c r="U80" i="23"/>
  <c r="F128" i="23"/>
  <c r="V116" i="23"/>
  <c r="F126" i="23"/>
  <c r="Q116" i="23"/>
  <c r="S116" i="23"/>
  <c r="O116" i="23"/>
  <c r="R116" i="23"/>
  <c r="N116" i="23"/>
  <c r="Q117" i="23"/>
  <c r="V117" i="23"/>
  <c r="R117" i="23"/>
  <c r="U117" i="23"/>
  <c r="O117" i="23"/>
  <c r="N117" i="23"/>
  <c r="S117" i="23"/>
</calcChain>
</file>

<file path=xl/sharedStrings.xml><?xml version="1.0" encoding="utf-8"?>
<sst xmlns="http://schemas.openxmlformats.org/spreadsheetml/2006/main" count="232" uniqueCount="216">
  <si>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</si>
  <si>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</si>
  <si>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</si>
  <si>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</si>
  <si>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</si>
  <si>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</si>
  <si>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</si>
  <si>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</si>
  <si>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</si>
  <si>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</si>
  <si>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</si>
  <si>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</si>
  <si>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</si>
  <si>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</si>
  <si>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</si>
  <si>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</si>
  <si>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</si>
  <si>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</si>
  <si>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</si>
  <si>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</si>
  <si>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</si>
  <si>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</si>
  <si>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</si>
  <si>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</si>
  <si>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</si>
  <si>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</si>
  <si>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</si>
  <si>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</si>
  <si>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</si>
  <si>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</si>
  <si>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</si>
  <si>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</si>
  <si>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</si>
  <si>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</si>
  <si>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</si>
  <si>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</si>
  <si>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</si>
  <si>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</si>
  <si>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</si>
  <si>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</si>
  <si>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</si>
  <si>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</si>
  <si>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</si>
  <si>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</si>
  <si>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</si>
  <si>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</si>
  <si>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</si>
  <si>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</si>
  <si>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</si>
  <si>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</si>
  <si>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</si>
  <si>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</si>
  <si>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</si>
  <si>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</si>
  <si>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</si>
  <si>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</si>
  <si>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</si>
  <si>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</si>
  <si>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</si>
  <si>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</si>
  <si>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</si>
  <si>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</si>
  <si>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</si>
  <si>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</si>
  <si>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</si>
  <si>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</si>
  <si>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</si>
  <si>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</si>
  <si>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</si>
  <si>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</si>
  <si>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</si>
  <si>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</si>
  <si>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</si>
  <si>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</si>
  <si>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</si>
  <si>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</si>
  <si>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</si>
  <si>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</si>
  <si>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</si>
  <si>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</si>
  <si>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</si>
  <si>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</si>
  <si>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</si>
  <si>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</si>
  <si>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</si>
  <si>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</si>
  <si>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</si>
  <si>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</si>
  <si>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</si>
  <si>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</si>
  <si>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</si>
  <si>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</si>
  <si>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</si>
  <si>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</si>
  <si>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</si>
  <si>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</si>
  <si>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</si>
  <si>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</si>
  <si>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</si>
  <si>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</si>
  <si>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</si>
  <si>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</si>
  <si>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</si>
  <si>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</si>
  <si>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</si>
  <si>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</si>
  <si>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</si>
  <si>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</si>
  <si>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</si>
  <si>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</si>
  <si>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</si>
  <si>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</si>
  <si>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</si>
  <si>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</si>
  <si>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</si>
  <si>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</si>
  <si>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</si>
  <si>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</si>
  <si>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</si>
  <si>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</si>
  <si>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</si>
  <si>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</si>
  <si>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</si>
  <si>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</si>
  <si>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</si>
  <si>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</si>
  <si>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</si>
  <si>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</si>
  <si>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</si>
  <si>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</si>
  <si>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</si>
  <si>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</si>
  <si>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</si>
  <si>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</si>
  <si>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</si>
  <si>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</si>
  <si>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</si>
  <si>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</si>
  <si>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</si>
  <si>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</si>
  <si>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</si>
  <si>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</si>
  <si>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</si>
  <si>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</si>
  <si>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</si>
  <si>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</si>
  <si>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</si>
  <si>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</si>
  <si>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</si>
  <si>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Заступник директора департаменту - 
начальник відділу доходів бюджету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</si>
  <si>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</si>
  <si>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</si>
  <si>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Бюджет 
на 2024 рік</t>
  </si>
  <si>
    <t>Уточнений бюджет на 2024 рік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</si>
  <si>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</si>
  <si>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</si>
  <si>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Відхилення факту  2024р. від факту 2023р.</t>
  </si>
  <si>
    <t>11010200</t>
  </si>
  <si>
    <r>
      <t xml:space="preserve">Податок на доходи фізичних осіб з грошового забезпечення, грошових винагород та інших виплат, одержаних </t>
    </r>
    <r>
      <rPr>
        <b/>
        <i/>
        <u/>
        <sz val="15"/>
        <rFont val="Times New Roman"/>
        <family val="1"/>
        <charset val="204"/>
      </rPr>
      <t>військовослужбовцями</t>
    </r>
    <r>
      <rPr>
        <i/>
        <sz val="15"/>
        <rFont val="Times New Roman"/>
        <family val="1"/>
        <charset val="204"/>
      </rPr>
      <t xml:space="preserve"> та особами рядового і начальницького складу, що сплачується податковими агентами</t>
    </r>
  </si>
  <si>
    <t xml:space="preserve">Всього власних доходів загального фонду
(без ПДФО "військовослужбовців" ККД 11010200) </t>
  </si>
  <si>
    <t xml:space="preserve">ВСЬОГО ДОХОДІВ ЗАГАЛЬНОГО ФОНДУ
(без ПДФО "військовослужбовців" ККД 11010200) </t>
  </si>
  <si>
    <t xml:space="preserve">ВСЬОГО ДОХОДІВ ЗАГАЛЬНОГО 
ТА СПЕЦІАЛЬНОГО ФОНДІВ
(без ПДФО "військовослужбовців" ККД 11010200) </t>
  </si>
  <si>
    <t>5.1.</t>
  </si>
  <si>
    <t>5.2.</t>
  </si>
  <si>
    <t>5.3.</t>
  </si>
  <si>
    <t>5.4.</t>
  </si>
  <si>
    <t>5.5.</t>
  </si>
  <si>
    <t>15.1.</t>
  </si>
  <si>
    <t>15.2.</t>
  </si>
  <si>
    <t>15.3.</t>
  </si>
  <si>
    <t>15.4.</t>
  </si>
  <si>
    <t xml:space="preserve">Власні доходи
(без ПДФО "військовослужбовців" ККД 11010200) 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</si>
  <si>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</si>
  <si>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41040400</t>
  </si>
  <si>
    <t>Інші дотації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</si>
  <si>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</si>
  <si>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</si>
  <si>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лютий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</si>
  <si>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</si>
  <si>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</si>
  <si>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 xml:space="preserve">Податок та збір на доходи фізичних осіб 
(без ПДФО "військовослужбовців" ККД 11010200)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</si>
  <si>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</si>
  <si>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41021400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</si>
  <si>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</si>
  <si>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41051700</t>
  </si>
  <si>
    <t>березень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</si>
  <si>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</si>
  <si>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* субвенція з бюджету Якушинецької сільської територіальної громади  на надання освітніх послуг дітям 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</si>
  <si>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Місцеві податки, нараховані до 1 січня 2011 року</t>
  </si>
  <si>
    <t>ПРО ООН</t>
  </si>
  <si>
    <t>Від Європейського Союзу, урядів іноземних держав, міжнародних організацій, донорських установ (ККД 42000000)</t>
  </si>
  <si>
    <t>квітень</t>
  </si>
  <si>
    <t>*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</si>
  <si>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Субвенція з місцевого бюджету на виконання окремих заходів з реалізації соціального проекту «Активні парки - локації здорової України» за рахунок відповідної субвенції з державного бюджету</t>
  </si>
  <si>
    <t>22020400</t>
  </si>
  <si>
    <t>Плата за ліцензії на провадження діяльності з організації та проведення азартних ігор у залах гральних автоматів</t>
  </si>
  <si>
    <t>травень</t>
  </si>
  <si>
    <t>Ірина ЛАРІНА</t>
  </si>
  <si>
    <t>червень</t>
  </si>
  <si>
    <t>41033800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</si>
  <si>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</si>
  <si>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9.1.</t>
  </si>
  <si>
    <t>9.2.</t>
  </si>
  <si>
    <t>9.3.</t>
  </si>
  <si>
    <t>Надійшло за січень - червень 2024р.</t>
  </si>
  <si>
    <t>План на січень - червень 2024 року</t>
  </si>
  <si>
    <t>Відхилення надходжень до плану на січень - червень 2024 року</t>
  </si>
  <si>
    <t>План на січень - червень 2024р. (розрахунковий)</t>
  </si>
  <si>
    <t xml:space="preserve">Відхилення надходжень до плану на січень - червень 2024 року (розрахунковий) </t>
  </si>
  <si>
    <t>% виконання до бюджету на 2024р. (норма 50,0%)</t>
  </si>
  <si>
    <t>Надійшло за січень - червень 2023р.</t>
  </si>
  <si>
    <t>9.4.</t>
  </si>
  <si>
    <t>9.5.</t>
  </si>
  <si>
    <t>9.6.</t>
  </si>
  <si>
    <t>9.7.</t>
  </si>
  <si>
    <t>Аналіз виконання бюджету Вінницької міської територіальної громади за січень - червень 2024 року (за місячним казначейським звітом)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</si>
</sst>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6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b/>
      <i/>
      <u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b/>
      <i/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188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49" fontId="32" fillId="0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7" fillId="0" borderId="1" xfId="3" applyFont="1" applyFill="1" applyBorder="1" applyAlignment="1">
      <alignment horizontal="center" vertical="center"/>
    </xf>
    <xf numFmtId="166" fontId="28" fillId="0" borderId="0" xfId="3" applyNumberFormat="1" applyFont="1" applyFill="1" applyBorder="1"/>
    <xf numFmtId="164" fontId="28" fillId="0" borderId="0" xfId="3" applyNumberFormat="1" applyFont="1" applyFill="1" applyBorder="1"/>
    <xf numFmtId="0" fontId="28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0" fontId="35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0" fillId="0" borderId="1" xfId="1" applyNumberFormat="1" applyFont="1" applyFill="1" applyBorder="1" applyAlignment="1">
      <alignment horizontal="center" vertical="center" wrapText="1"/>
    </xf>
    <xf numFmtId="166" fontId="30" fillId="0" borderId="0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6" fontId="37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168" fontId="37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39" fillId="0" borderId="1" xfId="2" applyNumberFormat="1" applyFont="1" applyFill="1" applyBorder="1" applyAlignment="1">
      <alignment horizontal="left" vertical="center" wrapText="1"/>
    </xf>
    <xf numFmtId="0" fontId="39" fillId="0" borderId="1" xfId="2" applyNumberFormat="1" applyFont="1" applyFill="1" applyBorder="1" applyAlignment="1">
      <alignment horizontal="left" vertical="center" wrapText="1"/>
    </xf>
    <xf numFmtId="166" fontId="18" fillId="0" borderId="0" xfId="2" applyNumberFormat="1" applyFont="1" applyFill="1"/>
    <xf numFmtId="166" fontId="32" fillId="0" borderId="0" xfId="1" applyNumberFormat="1" applyFont="1" applyFill="1" applyBorder="1" applyAlignment="1">
      <alignment horizontal="center" vertical="center" wrapText="1"/>
    </xf>
    <xf numFmtId="0" fontId="29" fillId="0" borderId="0" xfId="3" applyFont="1" applyFill="1" applyBorder="1"/>
    <xf numFmtId="49" fontId="11" fillId="0" borderId="1" xfId="3" applyNumberFormat="1" applyFont="1" applyFill="1" applyBorder="1" applyAlignment="1">
      <alignment horizontal="center" vertical="center" wrapText="1" shrinkToFit="1"/>
    </xf>
    <xf numFmtId="166" fontId="26" fillId="0" borderId="0" xfId="3" applyNumberFormat="1" applyFont="1" applyFill="1" applyBorder="1"/>
    <xf numFmtId="0" fontId="20" fillId="0" borderId="1" xfId="1" applyFont="1" applyFill="1" applyBorder="1" applyAlignment="1">
      <alignment horizontal="center"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8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49" fontId="39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35" fillId="0" borderId="1" xfId="3" applyNumberFormat="1" applyFont="1" applyFill="1" applyBorder="1" applyAlignment="1">
      <alignment horizontal="justify" vertical="center" wrapText="1" shrinkToFit="1"/>
    </xf>
    <xf numFmtId="0" fontId="24" fillId="0" borderId="1" xfId="2" applyFont="1" applyFill="1" applyBorder="1" applyAlignment="1">
      <alignment vertical="center" wrapText="1"/>
    </xf>
    <xf numFmtId="0" fontId="23" fillId="0" borderId="1" xfId="1" applyFont="1" applyFill="1" applyBorder="1" applyAlignment="1">
      <alignment horizontal="center" vertical="center" wrapText="1"/>
    </xf>
    <xf numFmtId="168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8" fontId="37" fillId="0" borderId="1" xfId="3" applyNumberFormat="1" applyFont="1" applyFill="1" applyBorder="1" applyAlignment="1">
      <alignment horizontal="center" vertical="center" wrapText="1"/>
    </xf>
    <xf numFmtId="168" fontId="38" fillId="0" borderId="1" xfId="3" applyNumberFormat="1" applyFont="1" applyFill="1" applyBorder="1" applyAlignment="1">
      <alignment horizontal="center" vertical="center" wrapText="1"/>
    </xf>
    <xf numFmtId="168" fontId="36" fillId="0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8" fontId="36" fillId="0" borderId="1" xfId="3" applyNumberFormat="1" applyFont="1" applyFill="1" applyBorder="1" applyAlignment="1">
      <alignment horizontal="center" vertical="center" wrapText="1"/>
    </xf>
    <xf numFmtId="166" fontId="36" fillId="0" borderId="1" xfId="3" applyNumberFormat="1" applyFont="1" applyFill="1" applyBorder="1" applyAlignment="1">
      <alignment horizontal="center" vertical="center"/>
    </xf>
    <xf numFmtId="164" fontId="36" fillId="0" borderId="1" xfId="3" applyNumberFormat="1" applyFont="1" applyFill="1" applyBorder="1" applyAlignment="1">
      <alignment horizontal="center" vertical="center"/>
    </xf>
    <xf numFmtId="166" fontId="45" fillId="0" borderId="0" xfId="3" applyNumberFormat="1" applyFont="1" applyFill="1" applyBorder="1"/>
    <xf numFmtId="164" fontId="45" fillId="0" borderId="0" xfId="3" applyNumberFormat="1" applyFont="1" applyFill="1" applyBorder="1"/>
    <xf numFmtId="0" fontId="45" fillId="0" borderId="0" xfId="3" applyFont="1" applyFill="1" applyBorder="1"/>
    <xf numFmtId="165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166" fontId="36" fillId="0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0" fontId="39" fillId="0" borderId="1" xfId="3" applyNumberFormat="1" applyFont="1" applyFill="1" applyBorder="1" applyAlignment="1">
      <alignment horizontal="left" vertical="center" wrapText="1" shrinkToFit="1"/>
    </xf>
    <xf numFmtId="167" fontId="32" fillId="0" borderId="1" xfId="1" applyNumberFormat="1" applyFont="1" applyFill="1" applyBorder="1" applyAlignment="1">
      <alignment horizontal="center" vertical="center" wrapText="1"/>
    </xf>
    <xf numFmtId="0" fontId="2" fillId="0" borderId="1" xfId="2" applyFont="1" applyFill="1" applyBorder="1"/>
    <xf numFmtId="0" fontId="2" fillId="0" borderId="1" xfId="2" applyFont="1" applyFill="1" applyBorder="1" applyAlignment="1">
      <alignment horizontal="center" vertical="center" wrapText="1"/>
    </xf>
    <xf numFmtId="168" fontId="3" fillId="0" borderId="0" xfId="2" applyNumberFormat="1" applyFont="1" applyFill="1" applyBorder="1" applyAlignment="1">
      <alignment horizontal="center"/>
    </xf>
    <xf numFmtId="0" fontId="29" fillId="0" borderId="0" xfId="0" applyFont="1" applyFill="1" applyBorder="1"/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49" fontId="16" fillId="0" borderId="0" xfId="2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29" fillId="0" borderId="1" xfId="3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44" fillId="0" borderId="1" xfId="3" applyFont="1" applyFill="1" applyBorder="1" applyAlignment="1">
      <alignment horizontal="center" vertical="center" wrapText="1"/>
    </xf>
    <xf numFmtId="166" fontId="38" fillId="0" borderId="2" xfId="3" applyNumberFormat="1" applyFont="1" applyFill="1" applyBorder="1" applyAlignment="1">
      <alignment horizontal="center" vertical="center" wrapText="1"/>
    </xf>
    <xf numFmtId="166" fontId="38" fillId="0" borderId="4" xfId="3" applyNumberFormat="1" applyFont="1" applyFill="1" applyBorder="1" applyAlignment="1">
      <alignment horizontal="center" vertical="center" wrapText="1"/>
    </xf>
    <xf numFmtId="166" fontId="38" fillId="0" borderId="3" xfId="3" applyNumberFormat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center" wrapText="1"/>
    </xf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3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0" fontId="32" fillId="0" borderId="1" xfId="3" applyFont="1" applyFill="1" applyBorder="1" applyAlignment="1">
      <alignment horizontal="center" vertical="center" wrapText="1"/>
    </xf>
    <xf numFmtId="166" fontId="32" fillId="0" borderId="1" xfId="3" applyNumberFormat="1" applyFont="1" applyFill="1" applyBorder="1" applyAlignment="1">
      <alignment horizontal="center" vertical="center" wrapText="1"/>
    </xf>
    <xf numFmtId="168" fontId="32" fillId="0" borderId="1" xfId="3" applyNumberFormat="1" applyFont="1" applyFill="1" applyBorder="1" applyAlignment="1">
      <alignment horizontal="center" vertical="center" wrapText="1"/>
    </xf>
    <xf numFmtId="166" fontId="31" fillId="0" borderId="0" xfId="3" applyNumberFormat="1" applyFont="1" applyFill="1" applyBorder="1"/>
    <xf numFmtId="0" fontId="31" fillId="0" borderId="0" xfId="3" applyFont="1" applyFill="1" applyBorder="1"/>
    <xf numFmtId="0" fontId="31" fillId="0" borderId="1" xfId="1" applyFont="1" applyFill="1" applyBorder="1" applyAlignment="1">
      <alignment horizontal="center" vertical="center"/>
    </xf>
    <xf numFmtId="2" fontId="32" fillId="0" borderId="1" xfId="1" applyNumberFormat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horizontal="center" vertical="center" wrapText="1"/>
    </xf>
    <xf numFmtId="165" fontId="41" fillId="0" borderId="1" xfId="1" applyNumberFormat="1" applyFont="1" applyFill="1" applyBorder="1" applyAlignment="1">
      <alignment horizontal="center" vertical="center" wrapText="1"/>
    </xf>
    <xf numFmtId="166" fontId="41" fillId="0" borderId="1" xfId="1" applyNumberFormat="1" applyFont="1" applyFill="1" applyBorder="1" applyAlignment="1">
      <alignment horizontal="center" vertical="center" wrapText="1"/>
    </xf>
    <xf numFmtId="168" fontId="41" fillId="0" borderId="1" xfId="1" applyNumberFormat="1" applyFont="1" applyFill="1" applyBorder="1" applyAlignment="1">
      <alignment horizontal="center" vertical="center" wrapText="1"/>
    </xf>
    <xf numFmtId="166" fontId="41" fillId="0" borderId="1" xfId="3" applyNumberFormat="1" applyFont="1" applyFill="1" applyBorder="1" applyAlignment="1">
      <alignment horizontal="center" vertical="center"/>
    </xf>
    <xf numFmtId="164" fontId="41" fillId="0" borderId="1" xfId="3" applyNumberFormat="1" applyFont="1" applyFill="1" applyBorder="1" applyAlignment="1">
      <alignment horizontal="center" vertical="center"/>
    </xf>
    <xf numFmtId="166" fontId="40" fillId="0" borderId="0" xfId="1" applyNumberFormat="1" applyFont="1" applyFill="1" applyBorder="1"/>
    <xf numFmtId="0" fontId="40" fillId="0" borderId="0" xfId="1" applyFont="1" applyFill="1" applyBorder="1"/>
    <xf numFmtId="0" fontId="33" fillId="0" borderId="1" xfId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/>
    </xf>
    <xf numFmtId="0" fontId="33" fillId="0" borderId="0" xfId="1" applyFont="1" applyFill="1" applyBorder="1"/>
    <xf numFmtId="49" fontId="41" fillId="0" borderId="1" xfId="1" applyNumberFormat="1" applyFont="1" applyFill="1" applyBorder="1" applyAlignment="1">
      <alignment horizontal="center" vertical="center" wrapText="1"/>
    </xf>
    <xf numFmtId="167" fontId="41" fillId="0" borderId="1" xfId="3" applyNumberFormat="1" applyFont="1" applyFill="1" applyBorder="1" applyAlignment="1">
      <alignment horizontal="center" vertical="center"/>
    </xf>
    <xf numFmtId="0" fontId="40" fillId="0" borderId="1" xfId="1" applyFont="1" applyFill="1" applyBorder="1" applyAlignment="1">
      <alignment vertical="center"/>
    </xf>
    <xf numFmtId="0" fontId="12" fillId="0" borderId="1" xfId="1" applyFont="1" applyFill="1" applyBorder="1" applyAlignment="1">
      <alignment vertical="center"/>
    </xf>
    <xf numFmtId="166" fontId="41" fillId="0" borderId="4" xfId="1" applyNumberFormat="1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44"/>
  <sheetViews>
    <sheetView showGridLines="0" tabSelected="1" view="pageBreakPreview" zoomScale="70" zoomScaleNormal="75" zoomScaleSheetLayoutView="70" workbookViewId="0">
      <pane xSplit="3" ySplit="4" topLeftCell="D70" activePane="bottomRight" state="frozen"/>
      <selection pane="topRight" activeCell="D1" sqref="D1"/>
      <selection pane="bottomLeft" activeCell="A5" sqref="A5"/>
      <selection pane="bottomRight" activeCell="B108" sqref="B108"/>
    </sheetView>
  </sheetViews>
  <sheetFormatPr defaultRowHeight="12.75" x14ac:dyDescent="0.2"/>
  <cols>
    <col min="1" max="1" width="12.28515625" style="19" customWidth="1"/>
    <col min="2" max="2" width="98.28515625" style="19" customWidth="1"/>
    <col min="3" max="3" width="16.140625" style="19" customWidth="1"/>
    <col min="4" max="4" width="24.140625" style="19" customWidth="1"/>
    <col min="5" max="5" width="27.7109375" style="19" customWidth="1"/>
    <col min="6" max="6" width="32.7109375" style="3" customWidth="1"/>
    <col min="7" max="12" width="22.140625" style="3" hidden="1" customWidth="1"/>
    <col min="13" max="13" width="26.7109375" style="3" customWidth="1"/>
    <col min="14" max="14" width="23.7109375" style="3" customWidth="1"/>
    <col min="15" max="15" width="14.85546875" style="3" bestFit="1" customWidth="1"/>
    <col min="16" max="16" width="26.42578125" style="3" hidden="1" customWidth="1"/>
    <col min="17" max="17" width="23" style="3" hidden="1" customWidth="1"/>
    <col min="18" max="18" width="13.7109375" style="3" hidden="1" customWidth="1"/>
    <col min="19" max="19" width="15.28515625" style="3" customWidth="1"/>
    <col min="20" max="20" width="24.140625" style="3" customWidth="1"/>
    <col min="21" max="21" width="23.5703125" style="1" customWidth="1"/>
    <col min="22" max="22" width="13.7109375" style="3" bestFit="1" customWidth="1"/>
    <col min="23" max="23" width="24.140625" style="3" hidden="1" customWidth="1"/>
    <col min="24" max="24" width="22.5703125" style="3" hidden="1" customWidth="1"/>
    <col min="25" max="25" width="15.85546875" style="3" hidden="1" customWidth="1"/>
    <col min="26" max="26" width="0" style="3" hidden="1" customWidth="1"/>
    <col min="27" max="27" width="24.140625" style="3" hidden="1" customWidth="1"/>
    <col min="28" max="28" width="0" style="3" hidden="1" customWidth="1"/>
    <col min="29" max="29" width="15.140625" style="3" hidden="1" customWidth="1"/>
    <col min="30" max="30" width="0" style="3" hidden="1" customWidth="1"/>
    <col min="31" max="16384" width="9.140625" style="3"/>
  </cols>
  <sheetData>
    <row r="1" spans="1:37" ht="30" customHeight="1" x14ac:dyDescent="0.2">
      <c r="A1" s="143" t="s">
        <v>215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</row>
    <row r="2" spans="1:37" ht="18.75" x14ac:dyDescent="0.3">
      <c r="A2" s="22" t="s">
        <v>48</v>
      </c>
      <c r="B2" s="17"/>
      <c r="C2" s="17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137"/>
      <c r="T2" s="68"/>
      <c r="U2" s="5" t="s">
        <v>13</v>
      </c>
      <c r="V2" s="5"/>
    </row>
    <row r="3" spans="1:37" s="47" customFormat="1" ht="15" customHeight="1" x14ac:dyDescent="0.25">
      <c r="A3" s="144" t="s">
        <v>0</v>
      </c>
      <c r="B3" s="145" t="s">
        <v>1</v>
      </c>
      <c r="C3" s="145" t="s">
        <v>2</v>
      </c>
      <c r="D3" s="146" t="s">
        <v>152</v>
      </c>
      <c r="E3" s="146" t="s">
        <v>153</v>
      </c>
      <c r="F3" s="146" t="s">
        <v>204</v>
      </c>
      <c r="G3" s="146" t="s">
        <v>63</v>
      </c>
      <c r="H3" s="146" t="s">
        <v>177</v>
      </c>
      <c r="I3" s="146" t="s">
        <v>185</v>
      </c>
      <c r="J3" s="146" t="s">
        <v>191</v>
      </c>
      <c r="K3" s="146" t="s">
        <v>196</v>
      </c>
      <c r="L3" s="146" t="s">
        <v>198</v>
      </c>
      <c r="M3" s="146" t="s">
        <v>205</v>
      </c>
      <c r="N3" s="146" t="s">
        <v>206</v>
      </c>
      <c r="O3" s="146" t="s">
        <v>3</v>
      </c>
      <c r="P3" s="146" t="s">
        <v>207</v>
      </c>
      <c r="Q3" s="146" t="s">
        <v>208</v>
      </c>
      <c r="R3" s="146" t="s">
        <v>3</v>
      </c>
      <c r="S3" s="163" t="s">
        <v>209</v>
      </c>
      <c r="T3" s="146" t="s">
        <v>210</v>
      </c>
      <c r="U3" s="146" t="s">
        <v>156</v>
      </c>
      <c r="V3" s="146" t="s">
        <v>3</v>
      </c>
    </row>
    <row r="4" spans="1:37" s="47" customFormat="1" ht="94.5" customHeight="1" x14ac:dyDescent="0.25">
      <c r="A4" s="144"/>
      <c r="B4" s="145"/>
      <c r="C4" s="145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63"/>
      <c r="T4" s="146"/>
      <c r="U4" s="146"/>
      <c r="V4" s="146"/>
    </row>
    <row r="5" spans="1:37" s="51" customFormat="1" ht="20.25" x14ac:dyDescent="0.2">
      <c r="A5" s="48" t="s">
        <v>4</v>
      </c>
      <c r="B5" s="49" t="s">
        <v>5</v>
      </c>
      <c r="C5" s="49">
        <f>B5+1</f>
        <v>3</v>
      </c>
      <c r="D5" s="49">
        <f>C5+1</f>
        <v>4</v>
      </c>
      <c r="E5" s="49">
        <f t="shared" ref="E5:V5" si="0">D5+1</f>
        <v>5</v>
      </c>
      <c r="F5" s="49">
        <f t="shared" ref="F5" si="1">E5+1</f>
        <v>6</v>
      </c>
      <c r="G5" s="49">
        <f t="shared" ref="G5" si="2">F5+1</f>
        <v>7</v>
      </c>
      <c r="H5" s="49">
        <f t="shared" ref="H5" si="3">G5+1</f>
        <v>8</v>
      </c>
      <c r="I5" s="49">
        <f t="shared" ref="I5" si="4">H5+1</f>
        <v>9</v>
      </c>
      <c r="J5" s="49">
        <f t="shared" ref="J5" si="5">I5+1</f>
        <v>10</v>
      </c>
      <c r="K5" s="49">
        <f t="shared" ref="K5:L5" si="6">J5+1</f>
        <v>11</v>
      </c>
      <c r="L5" s="49">
        <f t="shared" si="6"/>
        <v>12</v>
      </c>
      <c r="M5" s="49">
        <v>7</v>
      </c>
      <c r="N5" s="49">
        <f t="shared" ref="N5" si="7">M5+1</f>
        <v>8</v>
      </c>
      <c r="O5" s="49">
        <f t="shared" ref="O5" si="8">N5+1</f>
        <v>9</v>
      </c>
      <c r="P5" s="49">
        <f t="shared" ref="P5" si="9">O5+1</f>
        <v>10</v>
      </c>
      <c r="Q5" s="49">
        <f t="shared" ref="Q5" si="10">P5+1</f>
        <v>11</v>
      </c>
      <c r="R5" s="49">
        <f t="shared" ref="R5" si="11">Q5+1</f>
        <v>12</v>
      </c>
      <c r="S5" s="49">
        <v>10</v>
      </c>
      <c r="T5" s="49">
        <f t="shared" si="0"/>
        <v>11</v>
      </c>
      <c r="U5" s="49">
        <f t="shared" si="0"/>
        <v>12</v>
      </c>
      <c r="V5" s="49">
        <f t="shared" si="0"/>
        <v>13</v>
      </c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</row>
    <row r="6" spans="1:37" s="52" customFormat="1" ht="26.25" customHeight="1" x14ac:dyDescent="0.2">
      <c r="A6" s="147" t="s">
        <v>6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</row>
    <row r="7" spans="1:37" s="56" customFormat="1" ht="32.25" customHeight="1" x14ac:dyDescent="0.25">
      <c r="A7" s="148">
        <v>1</v>
      </c>
      <c r="B7" s="61" t="s">
        <v>64</v>
      </c>
      <c r="C7" s="53" t="s">
        <v>14</v>
      </c>
      <c r="D7" s="128">
        <v>3112871.4720000001</v>
      </c>
      <c r="E7" s="128">
        <v>3192610.4670000002</v>
      </c>
      <c r="F7" s="128">
        <f>SUM(G7:L7)</f>
        <v>1546400.5560000001</v>
      </c>
      <c r="G7" s="128">
        <v>211850.85699999999</v>
      </c>
      <c r="H7" s="128">
        <v>240217.06700000001</v>
      </c>
      <c r="I7" s="128">
        <v>248941.52799999999</v>
      </c>
      <c r="J7" s="128">
        <v>265666.495</v>
      </c>
      <c r="K7" s="128">
        <v>290951.80499999999</v>
      </c>
      <c r="L7" s="128">
        <v>288772.804</v>
      </c>
      <c r="M7" s="128">
        <v>1445194.5220000001</v>
      </c>
      <c r="N7" s="128">
        <f>F7-M7</f>
        <v>101206.03399999999</v>
      </c>
      <c r="O7" s="112">
        <f>F7/M7*100</f>
        <v>107.00293506924876</v>
      </c>
      <c r="P7" s="128">
        <f>E7/12*6</f>
        <v>1596305.2335000001</v>
      </c>
      <c r="Q7" s="128">
        <f>F7-P7</f>
        <v>-49904.677499999991</v>
      </c>
      <c r="R7" s="112">
        <f>F7/P7*100</f>
        <v>96.873738402111172</v>
      </c>
      <c r="S7" s="112">
        <f>F7/E7*100</f>
        <v>48.436869201055586</v>
      </c>
      <c r="T7" s="128">
        <v>1689792.216</v>
      </c>
      <c r="U7" s="83">
        <f>F7-T7</f>
        <v>-143391.65999999992</v>
      </c>
      <c r="V7" s="84">
        <f>F7/T7*100</f>
        <v>91.514243074250274</v>
      </c>
      <c r="W7" s="54"/>
      <c r="X7" s="54"/>
      <c r="Y7" s="54">
        <f>W7-X7</f>
        <v>0</v>
      </c>
      <c r="Z7" s="55" t="e">
        <f>W7/X7*100</f>
        <v>#DIV/0!</v>
      </c>
    </row>
    <row r="8" spans="1:37" s="60" customFormat="1" ht="66.75" hidden="1" customHeight="1" x14ac:dyDescent="0.25">
      <c r="A8" s="148"/>
      <c r="B8" s="103" t="s">
        <v>158</v>
      </c>
      <c r="C8" s="141" t="s">
        <v>157</v>
      </c>
      <c r="D8" s="150"/>
      <c r="E8" s="151"/>
      <c r="F8" s="129">
        <f>SUM(G8:L8)</f>
        <v>-2262.8440000000001</v>
      </c>
      <c r="G8" s="129"/>
      <c r="H8" s="129"/>
      <c r="I8" s="129"/>
      <c r="J8" s="129">
        <v>-325.62099999999998</v>
      </c>
      <c r="K8" s="129">
        <v>-995.39300000000003</v>
      </c>
      <c r="L8" s="129">
        <v>-941.83</v>
      </c>
      <c r="M8" s="150"/>
      <c r="N8" s="152"/>
      <c r="O8" s="151"/>
      <c r="P8" s="129"/>
      <c r="Q8" s="129"/>
      <c r="R8" s="113"/>
      <c r="S8" s="113"/>
      <c r="T8" s="129">
        <v>439167.33500000002</v>
      </c>
      <c r="U8" s="130">
        <f>D8-T8</f>
        <v>-439167.33500000002</v>
      </c>
      <c r="V8" s="131">
        <f>D8/T8*100</f>
        <v>0</v>
      </c>
      <c r="W8" s="58"/>
      <c r="X8" s="58"/>
      <c r="Y8" s="58"/>
      <c r="Z8" s="59"/>
    </row>
    <row r="9" spans="1:37" s="121" customFormat="1" ht="44.25" hidden="1" customHeight="1" x14ac:dyDescent="0.25">
      <c r="A9" s="148"/>
      <c r="B9" s="149" t="s">
        <v>180</v>
      </c>
      <c r="C9" s="149"/>
      <c r="D9" s="127">
        <f>D7</f>
        <v>3112871.4720000001</v>
      </c>
      <c r="E9" s="127">
        <f>E7</f>
        <v>3192610.4670000002</v>
      </c>
      <c r="F9" s="127">
        <f>SUM(G9:L9)</f>
        <v>1546400.5560000001</v>
      </c>
      <c r="G9" s="127">
        <f t="shared" ref="G9:M9" si="12">G7</f>
        <v>211850.85699999999</v>
      </c>
      <c r="H9" s="127">
        <f t="shared" si="12"/>
        <v>240217.06700000001</v>
      </c>
      <c r="I9" s="127">
        <f t="shared" si="12"/>
        <v>248941.52799999999</v>
      </c>
      <c r="J9" s="127">
        <f t="shared" si="12"/>
        <v>265666.495</v>
      </c>
      <c r="K9" s="127">
        <f t="shared" ref="K9" si="13">K7</f>
        <v>290951.80499999999</v>
      </c>
      <c r="L9" s="127">
        <f t="shared" si="12"/>
        <v>288772.804</v>
      </c>
      <c r="M9" s="127">
        <f t="shared" si="12"/>
        <v>1445194.5220000001</v>
      </c>
      <c r="N9" s="127">
        <f>F9-M9</f>
        <v>101206.03399999999</v>
      </c>
      <c r="O9" s="116">
        <f>F9/M9*100</f>
        <v>107.00293506924876</v>
      </c>
      <c r="P9" s="127">
        <f>E9/12*6</f>
        <v>1596305.2335000001</v>
      </c>
      <c r="Q9" s="127">
        <f>F9-P9</f>
        <v>-49904.677499999991</v>
      </c>
      <c r="R9" s="116">
        <f>F9/P9*100</f>
        <v>96.873738402111172</v>
      </c>
      <c r="S9" s="116">
        <f>F9/E9*100</f>
        <v>48.436869201055586</v>
      </c>
      <c r="T9" s="127">
        <f>T7-T8</f>
        <v>1250624.8810000001</v>
      </c>
      <c r="U9" s="117">
        <f t="shared" ref="U9" si="14">F9-T9</f>
        <v>295775.67500000005</v>
      </c>
      <c r="V9" s="118">
        <f t="shared" ref="V9" si="15">F9/T9*100</f>
        <v>123.65023113593404</v>
      </c>
      <c r="W9" s="119"/>
      <c r="X9" s="119"/>
      <c r="Y9" s="119"/>
      <c r="Z9" s="120"/>
    </row>
    <row r="10" spans="1:37" s="56" customFormat="1" ht="39" x14ac:dyDescent="0.25">
      <c r="A10" s="142">
        <f>A7+1</f>
        <v>2</v>
      </c>
      <c r="B10" s="61" t="s">
        <v>36</v>
      </c>
      <c r="C10" s="53" t="s">
        <v>16</v>
      </c>
      <c r="D10" s="128">
        <v>2500</v>
      </c>
      <c r="E10" s="128">
        <v>4100</v>
      </c>
      <c r="F10" s="128">
        <f t="shared" ref="F10:F80" si="16">SUM(G10:L10)</f>
        <v>3798.5860000000002</v>
      </c>
      <c r="G10" s="128">
        <v>238.74100000000001</v>
      </c>
      <c r="H10" s="128">
        <v>122.902</v>
      </c>
      <c r="I10" s="128">
        <v>2232.596</v>
      </c>
      <c r="J10" s="128">
        <v>95.078000000000003</v>
      </c>
      <c r="K10" s="128">
        <v>1108.9580000000001</v>
      </c>
      <c r="L10" s="128">
        <v>0.311</v>
      </c>
      <c r="M10" s="128">
        <v>3796.3</v>
      </c>
      <c r="N10" s="128">
        <f t="shared" ref="N10:N80" si="17">F10-M10</f>
        <v>2.2860000000000582</v>
      </c>
      <c r="O10" s="112">
        <f t="shared" ref="O10:O80" si="18">F10/M10*100</f>
        <v>100.06021652661804</v>
      </c>
      <c r="P10" s="128">
        <f t="shared" ref="P10:P52" si="19">E10/12*6</f>
        <v>2050</v>
      </c>
      <c r="Q10" s="128">
        <f t="shared" ref="Q10:Q80" si="20">F10-P10</f>
        <v>1748.5860000000002</v>
      </c>
      <c r="R10" s="112">
        <f t="shared" ref="R10:R80" si="21">F10/P10*100</f>
        <v>185.29687804878051</v>
      </c>
      <c r="S10" s="112">
        <f t="shared" ref="S10:S80" si="22">F10/E10*100</f>
        <v>92.648439024390257</v>
      </c>
      <c r="T10" s="128">
        <v>1092.7470000000001</v>
      </c>
      <c r="U10" s="83">
        <f t="shared" ref="U10:U41" si="23">F10-T10</f>
        <v>2705.8389999999999</v>
      </c>
      <c r="V10" s="84">
        <f>F10/T10*100</f>
        <v>347.61806712807265</v>
      </c>
      <c r="W10" s="54"/>
      <c r="X10" s="54"/>
      <c r="Y10" s="54">
        <f>T7/0.5</f>
        <v>3379584.432</v>
      </c>
      <c r="Z10" s="55">
        <f>X10/Y10*100</f>
        <v>0</v>
      </c>
    </row>
    <row r="11" spans="1:37" s="56" customFormat="1" ht="23.25" x14ac:dyDescent="0.25">
      <c r="A11" s="142">
        <v>3</v>
      </c>
      <c r="B11" s="61" t="s">
        <v>97</v>
      </c>
      <c r="C11" s="53" t="s">
        <v>98</v>
      </c>
      <c r="D11" s="128">
        <f>SUM(D12:D15)</f>
        <v>455.8</v>
      </c>
      <c r="E11" s="128">
        <f>SUM(E12:E15)</f>
        <v>455.8</v>
      </c>
      <c r="F11" s="128">
        <f t="shared" si="16"/>
        <v>93.786000000000001</v>
      </c>
      <c r="G11" s="128">
        <f t="shared" ref="G11:M11" si="24">SUM(G12:G15)</f>
        <v>0.97799999999999998</v>
      </c>
      <c r="H11" s="128">
        <f t="shared" ref="H11:K11" si="25">SUM(H12:H15)</f>
        <v>61.451999999999998</v>
      </c>
      <c r="I11" s="128">
        <f t="shared" si="25"/>
        <v>1.4999999999999999E-2</v>
      </c>
      <c r="J11" s="128">
        <f t="shared" si="25"/>
        <v>2</v>
      </c>
      <c r="K11" s="128">
        <f t="shared" si="25"/>
        <v>29.079000000000001</v>
      </c>
      <c r="L11" s="128">
        <f t="shared" si="24"/>
        <v>0.26200000000000001</v>
      </c>
      <c r="M11" s="128">
        <f t="shared" si="24"/>
        <v>93.004999999999995</v>
      </c>
      <c r="N11" s="128">
        <f t="shared" si="17"/>
        <v>0.78100000000000591</v>
      </c>
      <c r="O11" s="112">
        <f t="shared" si="18"/>
        <v>100.83973979893554</v>
      </c>
      <c r="P11" s="128">
        <f t="shared" si="19"/>
        <v>227.9</v>
      </c>
      <c r="Q11" s="128">
        <f t="shared" si="20"/>
        <v>-134.114</v>
      </c>
      <c r="R11" s="112">
        <f t="shared" si="21"/>
        <v>41.152259763053969</v>
      </c>
      <c r="S11" s="112">
        <f t="shared" si="22"/>
        <v>20.576129881526985</v>
      </c>
      <c r="T11" s="128">
        <f>SUM(T12:T15)</f>
        <v>219.48099999999999</v>
      </c>
      <c r="U11" s="83">
        <f t="shared" si="23"/>
        <v>-125.69499999999999</v>
      </c>
      <c r="V11" s="84">
        <f>F11/T11*100</f>
        <v>42.730805855632155</v>
      </c>
      <c r="W11" s="54"/>
      <c r="X11" s="54"/>
      <c r="Y11" s="54"/>
      <c r="Z11" s="55"/>
    </row>
    <row r="12" spans="1:37" s="60" customFormat="1" ht="39" x14ac:dyDescent="0.25">
      <c r="A12" s="57" t="s">
        <v>99</v>
      </c>
      <c r="B12" s="102" t="s">
        <v>120</v>
      </c>
      <c r="C12" s="140" t="s">
        <v>121</v>
      </c>
      <c r="D12" s="129">
        <v>32</v>
      </c>
      <c r="E12" s="129">
        <v>32</v>
      </c>
      <c r="F12" s="129">
        <f t="shared" si="16"/>
        <v>12.401</v>
      </c>
      <c r="G12" s="129">
        <v>0</v>
      </c>
      <c r="H12" s="129">
        <v>8.84</v>
      </c>
      <c r="I12" s="129">
        <v>0</v>
      </c>
      <c r="J12" s="129">
        <v>0</v>
      </c>
      <c r="K12" s="129">
        <v>3.5609999999999999</v>
      </c>
      <c r="L12" s="129">
        <v>0</v>
      </c>
      <c r="M12" s="129">
        <v>12.4</v>
      </c>
      <c r="N12" s="129">
        <f t="shared" si="17"/>
        <v>9.9999999999944578E-4</v>
      </c>
      <c r="O12" s="113">
        <f t="shared" si="18"/>
        <v>100.00806451612902</v>
      </c>
      <c r="P12" s="129">
        <f t="shared" si="19"/>
        <v>16</v>
      </c>
      <c r="Q12" s="129">
        <f t="shared" si="20"/>
        <v>-3.5990000000000002</v>
      </c>
      <c r="R12" s="113">
        <f t="shared" si="21"/>
        <v>77.506249999999994</v>
      </c>
      <c r="S12" s="113">
        <f t="shared" si="22"/>
        <v>38.753124999999997</v>
      </c>
      <c r="T12" s="129">
        <v>13.048</v>
      </c>
      <c r="U12" s="130">
        <f t="shared" si="23"/>
        <v>-0.64700000000000024</v>
      </c>
      <c r="V12" s="131">
        <f>F12/T12*100</f>
        <v>95.041385652973631</v>
      </c>
      <c r="W12" s="58"/>
      <c r="X12" s="58"/>
      <c r="Y12" s="58"/>
      <c r="Z12" s="59"/>
    </row>
    <row r="13" spans="1:37" s="60" customFormat="1" ht="58.5" x14ac:dyDescent="0.25">
      <c r="A13" s="57" t="s">
        <v>100</v>
      </c>
      <c r="B13" s="102" t="s">
        <v>92</v>
      </c>
      <c r="C13" s="46" t="s">
        <v>93</v>
      </c>
      <c r="D13" s="129">
        <v>305</v>
      </c>
      <c r="E13" s="129">
        <v>305</v>
      </c>
      <c r="F13" s="129">
        <f t="shared" si="16"/>
        <v>38.769000000000005</v>
      </c>
      <c r="G13" s="129">
        <v>0</v>
      </c>
      <c r="H13" s="129">
        <v>35.136000000000003</v>
      </c>
      <c r="I13" s="129">
        <v>0</v>
      </c>
      <c r="J13" s="129">
        <v>0</v>
      </c>
      <c r="K13" s="129">
        <v>3.633</v>
      </c>
      <c r="L13" s="129">
        <v>0</v>
      </c>
      <c r="M13" s="129">
        <v>38</v>
      </c>
      <c r="N13" s="129">
        <f t="shared" si="17"/>
        <v>0.76900000000000546</v>
      </c>
      <c r="O13" s="113">
        <f t="shared" si="18"/>
        <v>102.02368421052633</v>
      </c>
      <c r="P13" s="129">
        <f t="shared" si="19"/>
        <v>152.5</v>
      </c>
      <c r="Q13" s="129">
        <f t="shared" si="20"/>
        <v>-113.73099999999999</v>
      </c>
      <c r="R13" s="113">
        <f t="shared" si="21"/>
        <v>25.422295081967217</v>
      </c>
      <c r="S13" s="113">
        <f t="shared" si="22"/>
        <v>12.711147540983609</v>
      </c>
      <c r="T13" s="129">
        <v>165.155</v>
      </c>
      <c r="U13" s="130">
        <f t="shared" si="23"/>
        <v>-126.386</v>
      </c>
      <c r="V13" s="131">
        <f t="shared" ref="V13:V23" si="26">F13/T13*100</f>
        <v>23.474312009930067</v>
      </c>
    </row>
    <row r="14" spans="1:37" s="60" customFormat="1" ht="39" x14ac:dyDescent="0.25">
      <c r="A14" s="57" t="s">
        <v>101</v>
      </c>
      <c r="B14" s="102" t="s">
        <v>118</v>
      </c>
      <c r="C14" s="46" t="s">
        <v>96</v>
      </c>
      <c r="D14" s="129">
        <v>117</v>
      </c>
      <c r="E14" s="129">
        <v>117</v>
      </c>
      <c r="F14" s="129">
        <f t="shared" si="16"/>
        <v>42.249000000000002</v>
      </c>
      <c r="G14" s="129">
        <v>0.97799999999999998</v>
      </c>
      <c r="H14" s="129">
        <v>17.292999999999999</v>
      </c>
      <c r="I14" s="129">
        <v>1.4999999999999999E-2</v>
      </c>
      <c r="J14" s="129">
        <v>2</v>
      </c>
      <c r="K14" s="129">
        <v>21.701000000000001</v>
      </c>
      <c r="L14" s="129">
        <v>0.26200000000000001</v>
      </c>
      <c r="M14" s="129">
        <v>42.244999999999997</v>
      </c>
      <c r="N14" s="129">
        <f t="shared" si="17"/>
        <v>4.0000000000048885E-3</v>
      </c>
      <c r="O14" s="113">
        <f t="shared" si="18"/>
        <v>100.00946857616286</v>
      </c>
      <c r="P14" s="129">
        <f t="shared" si="19"/>
        <v>58.5</v>
      </c>
      <c r="Q14" s="129">
        <f t="shared" si="20"/>
        <v>-16.250999999999998</v>
      </c>
      <c r="R14" s="113">
        <f t="shared" si="21"/>
        <v>72.220512820512823</v>
      </c>
      <c r="S14" s="113">
        <f t="shared" si="22"/>
        <v>36.110256410256412</v>
      </c>
      <c r="T14" s="129">
        <v>39.931999999999995</v>
      </c>
      <c r="U14" s="130">
        <f t="shared" si="23"/>
        <v>2.3170000000000073</v>
      </c>
      <c r="V14" s="131">
        <f t="shared" si="26"/>
        <v>105.80236401883202</v>
      </c>
    </row>
    <row r="15" spans="1:37" s="60" customFormat="1" ht="39" x14ac:dyDescent="0.25">
      <c r="A15" s="57" t="s">
        <v>122</v>
      </c>
      <c r="B15" s="102" t="s">
        <v>117</v>
      </c>
      <c r="C15" s="46" t="s">
        <v>116</v>
      </c>
      <c r="D15" s="129">
        <v>1.8</v>
      </c>
      <c r="E15" s="129">
        <v>1.8</v>
      </c>
      <c r="F15" s="129">
        <f t="shared" si="16"/>
        <v>0.36699999999999999</v>
      </c>
      <c r="G15" s="129">
        <v>0</v>
      </c>
      <c r="H15" s="129">
        <v>0.183</v>
      </c>
      <c r="I15" s="129">
        <v>0</v>
      </c>
      <c r="J15" s="129">
        <v>0</v>
      </c>
      <c r="K15" s="129">
        <v>0.184</v>
      </c>
      <c r="L15" s="129">
        <v>0</v>
      </c>
      <c r="M15" s="129">
        <v>0.36</v>
      </c>
      <c r="N15" s="129">
        <f t="shared" si="17"/>
        <v>7.0000000000000062E-3</v>
      </c>
      <c r="O15" s="113">
        <f t="shared" si="18"/>
        <v>101.94444444444444</v>
      </c>
      <c r="P15" s="129">
        <f t="shared" si="19"/>
        <v>0.89999999999999991</v>
      </c>
      <c r="Q15" s="129">
        <f t="shared" si="20"/>
        <v>-0.53299999999999992</v>
      </c>
      <c r="R15" s="113">
        <f t="shared" si="21"/>
        <v>40.777777777777779</v>
      </c>
      <c r="S15" s="113">
        <f t="shared" si="22"/>
        <v>20.388888888888886</v>
      </c>
      <c r="T15" s="129">
        <v>1.3459999999999999</v>
      </c>
      <c r="U15" s="130">
        <f t="shared" si="23"/>
        <v>-0.97899999999999987</v>
      </c>
      <c r="V15" s="131">
        <f t="shared" si="26"/>
        <v>27.265973254086184</v>
      </c>
    </row>
    <row r="16" spans="1:37" s="56" customFormat="1" ht="23.25" x14ac:dyDescent="0.25">
      <c r="A16" s="142">
        <v>4</v>
      </c>
      <c r="B16" s="72" t="s">
        <v>83</v>
      </c>
      <c r="C16" s="69" t="s">
        <v>82</v>
      </c>
      <c r="D16" s="128">
        <f>D17+D20</f>
        <v>459000</v>
      </c>
      <c r="E16" s="128">
        <f>E17+E20</f>
        <v>452281</v>
      </c>
      <c r="F16" s="128">
        <f t="shared" si="16"/>
        <v>219287.52299999999</v>
      </c>
      <c r="G16" s="128">
        <f t="shared" ref="G16:M16" si="27">G17+G20</f>
        <v>40518.83</v>
      </c>
      <c r="H16" s="128">
        <f t="shared" ref="H16:K16" si="28">H17+H20</f>
        <v>25927.566999999999</v>
      </c>
      <c r="I16" s="128">
        <f t="shared" si="28"/>
        <v>34284.724000000002</v>
      </c>
      <c r="J16" s="128">
        <f t="shared" si="28"/>
        <v>36373.17</v>
      </c>
      <c r="K16" s="128">
        <f t="shared" si="28"/>
        <v>40859.608999999997</v>
      </c>
      <c r="L16" s="128">
        <f t="shared" si="27"/>
        <v>41323.623000000007</v>
      </c>
      <c r="M16" s="128">
        <f t="shared" si="27"/>
        <v>211670.6</v>
      </c>
      <c r="N16" s="128">
        <f t="shared" si="17"/>
        <v>7616.9229999999807</v>
      </c>
      <c r="O16" s="112">
        <f t="shared" si="18"/>
        <v>103.59847942983104</v>
      </c>
      <c r="P16" s="128">
        <f t="shared" si="19"/>
        <v>226140.5</v>
      </c>
      <c r="Q16" s="128">
        <f t="shared" si="20"/>
        <v>-6852.9770000000135</v>
      </c>
      <c r="R16" s="112">
        <f t="shared" si="21"/>
        <v>96.969593239601039</v>
      </c>
      <c r="S16" s="112">
        <f t="shared" si="22"/>
        <v>48.48479661980052</v>
      </c>
      <c r="T16" s="128">
        <f>T17+T20</f>
        <v>193073.05100000001</v>
      </c>
      <c r="U16" s="83">
        <f t="shared" si="23"/>
        <v>26214.47199999998</v>
      </c>
      <c r="V16" s="84">
        <f t="shared" si="26"/>
        <v>113.57748886456451</v>
      </c>
    </row>
    <row r="17" spans="1:25" s="60" customFormat="1" ht="39" x14ac:dyDescent="0.25">
      <c r="A17" s="57" t="s">
        <v>112</v>
      </c>
      <c r="B17" s="102" t="s">
        <v>145</v>
      </c>
      <c r="C17" s="155" t="s">
        <v>151</v>
      </c>
      <c r="D17" s="129">
        <f>SUM(D18:D19)</f>
        <v>153000</v>
      </c>
      <c r="E17" s="129">
        <f>SUM(E18:E19)</f>
        <v>153000</v>
      </c>
      <c r="F17" s="129">
        <f t="shared" si="16"/>
        <v>79389.398000000001</v>
      </c>
      <c r="G17" s="129">
        <f t="shared" ref="G17:M17" si="29">SUM(G18:G19)</f>
        <v>13410.271999999999</v>
      </c>
      <c r="H17" s="129">
        <f t="shared" ref="H17:K17" si="30">SUM(H18:H19)</f>
        <v>10447.121999999999</v>
      </c>
      <c r="I17" s="129">
        <f t="shared" si="30"/>
        <v>12704.659</v>
      </c>
      <c r="J17" s="129">
        <f t="shared" si="30"/>
        <v>14001.805999999999</v>
      </c>
      <c r="K17" s="129">
        <f t="shared" si="30"/>
        <v>14278.18</v>
      </c>
      <c r="L17" s="129">
        <f t="shared" si="29"/>
        <v>14547.359</v>
      </c>
      <c r="M17" s="129">
        <f t="shared" si="29"/>
        <v>76860</v>
      </c>
      <c r="N17" s="129">
        <f t="shared" si="17"/>
        <v>2529.398000000001</v>
      </c>
      <c r="O17" s="113">
        <f t="shared" si="18"/>
        <v>103.29091595107988</v>
      </c>
      <c r="P17" s="129">
        <f t="shared" si="19"/>
        <v>76500</v>
      </c>
      <c r="Q17" s="129">
        <f t="shared" si="20"/>
        <v>2889.398000000001</v>
      </c>
      <c r="R17" s="113">
        <f t="shared" si="21"/>
        <v>103.7769908496732</v>
      </c>
      <c r="S17" s="113">
        <f t="shared" si="22"/>
        <v>51.888495424836599</v>
      </c>
      <c r="T17" s="129">
        <f>SUM(T18:T19)</f>
        <v>60452.777000000002</v>
      </c>
      <c r="U17" s="130">
        <f t="shared" si="23"/>
        <v>18936.620999999999</v>
      </c>
      <c r="V17" s="131">
        <f t="shared" si="26"/>
        <v>131.32465031341735</v>
      </c>
    </row>
    <row r="18" spans="1:25" s="60" customFormat="1" ht="39" x14ac:dyDescent="0.25">
      <c r="A18" s="57" t="s">
        <v>141</v>
      </c>
      <c r="B18" s="102" t="s">
        <v>86</v>
      </c>
      <c r="C18" s="155"/>
      <c r="D18" s="129">
        <v>34000</v>
      </c>
      <c r="E18" s="129">
        <v>34000</v>
      </c>
      <c r="F18" s="129">
        <f t="shared" si="16"/>
        <v>12169.441999999999</v>
      </c>
      <c r="G18" s="129">
        <v>1880.6579999999999</v>
      </c>
      <c r="H18" s="129">
        <v>1575.9359999999999</v>
      </c>
      <c r="I18" s="129">
        <v>2017.0070000000001</v>
      </c>
      <c r="J18" s="129">
        <v>2418.721</v>
      </c>
      <c r="K18" s="129">
        <v>2057.7310000000002</v>
      </c>
      <c r="L18" s="129">
        <v>2219.3890000000001</v>
      </c>
      <c r="M18" s="129">
        <v>12060</v>
      </c>
      <c r="N18" s="129">
        <f t="shared" si="17"/>
        <v>109.4419999999991</v>
      </c>
      <c r="O18" s="113">
        <f t="shared" si="18"/>
        <v>100.90747927031509</v>
      </c>
      <c r="P18" s="129">
        <f t="shared" si="19"/>
        <v>17000</v>
      </c>
      <c r="Q18" s="129">
        <f t="shared" si="20"/>
        <v>-4830.5580000000009</v>
      </c>
      <c r="R18" s="113">
        <f t="shared" si="21"/>
        <v>71.584952941176454</v>
      </c>
      <c r="S18" s="113">
        <f t="shared" si="22"/>
        <v>35.792476470588227</v>
      </c>
      <c r="T18" s="129">
        <v>11541.780999999999</v>
      </c>
      <c r="U18" s="130">
        <f t="shared" si="23"/>
        <v>627.66100000000006</v>
      </c>
      <c r="V18" s="131">
        <f t="shared" si="26"/>
        <v>105.43816417934113</v>
      </c>
      <c r="W18" s="58">
        <f>T18+T19</f>
        <v>60452.777000000002</v>
      </c>
      <c r="X18" s="58">
        <f>F18+F19</f>
        <v>79389.397999999986</v>
      </c>
    </row>
    <row r="19" spans="1:25" s="60" customFormat="1" ht="39" x14ac:dyDescent="0.25">
      <c r="A19" s="57" t="s">
        <v>142</v>
      </c>
      <c r="B19" s="102" t="s">
        <v>87</v>
      </c>
      <c r="C19" s="155"/>
      <c r="D19" s="129">
        <v>119000</v>
      </c>
      <c r="E19" s="129">
        <v>119000</v>
      </c>
      <c r="F19" s="129">
        <f t="shared" si="16"/>
        <v>67219.955999999991</v>
      </c>
      <c r="G19" s="129">
        <v>11529.614</v>
      </c>
      <c r="H19" s="129">
        <v>8871.1859999999997</v>
      </c>
      <c r="I19" s="129">
        <v>10687.652</v>
      </c>
      <c r="J19" s="129">
        <v>11583.084999999999</v>
      </c>
      <c r="K19" s="129">
        <v>12220.449000000001</v>
      </c>
      <c r="L19" s="129">
        <v>12327.97</v>
      </c>
      <c r="M19" s="129">
        <v>64800</v>
      </c>
      <c r="N19" s="129">
        <f t="shared" si="17"/>
        <v>2419.955999999991</v>
      </c>
      <c r="O19" s="113">
        <f t="shared" si="18"/>
        <v>103.7345</v>
      </c>
      <c r="P19" s="129">
        <f t="shared" si="19"/>
        <v>59500</v>
      </c>
      <c r="Q19" s="129">
        <f t="shared" si="20"/>
        <v>7719.955999999991</v>
      </c>
      <c r="R19" s="113">
        <f t="shared" si="21"/>
        <v>112.97471596638653</v>
      </c>
      <c r="S19" s="113">
        <f t="shared" si="22"/>
        <v>56.487357983193263</v>
      </c>
      <c r="T19" s="129">
        <v>48910.995999999999</v>
      </c>
      <c r="U19" s="130">
        <f t="shared" si="23"/>
        <v>18308.959999999992</v>
      </c>
      <c r="V19" s="131">
        <f t="shared" si="26"/>
        <v>137.43321849344468</v>
      </c>
    </row>
    <row r="20" spans="1:25" s="60" customFormat="1" ht="39" x14ac:dyDescent="0.25">
      <c r="A20" s="57" t="s">
        <v>113</v>
      </c>
      <c r="B20" s="102" t="s">
        <v>88</v>
      </c>
      <c r="C20" s="46" t="s">
        <v>56</v>
      </c>
      <c r="D20" s="129">
        <f t="shared" ref="D20:E20" si="31">SUM(D21:D22)</f>
        <v>306000</v>
      </c>
      <c r="E20" s="129">
        <f t="shared" si="31"/>
        <v>299281</v>
      </c>
      <c r="F20" s="129">
        <f t="shared" si="16"/>
        <v>139898.125</v>
      </c>
      <c r="G20" s="129">
        <f t="shared" ref="G20:M20" si="32">SUM(G21:G22)</f>
        <v>27108.558000000001</v>
      </c>
      <c r="H20" s="129">
        <f t="shared" ref="H20:K20" si="33">SUM(H21:H22)</f>
        <v>15480.445</v>
      </c>
      <c r="I20" s="129">
        <f t="shared" si="33"/>
        <v>21580.065000000002</v>
      </c>
      <c r="J20" s="129">
        <f t="shared" si="33"/>
        <v>22371.364000000001</v>
      </c>
      <c r="K20" s="129">
        <f t="shared" si="33"/>
        <v>26581.429</v>
      </c>
      <c r="L20" s="129">
        <f t="shared" si="32"/>
        <v>26776.264000000003</v>
      </c>
      <c r="M20" s="129">
        <f t="shared" si="32"/>
        <v>134810.6</v>
      </c>
      <c r="N20" s="129">
        <f t="shared" si="17"/>
        <v>5087.5249999999942</v>
      </c>
      <c r="O20" s="113">
        <f t="shared" si="18"/>
        <v>103.77383158297641</v>
      </c>
      <c r="P20" s="129">
        <f t="shared" si="19"/>
        <v>149640.5</v>
      </c>
      <c r="Q20" s="129">
        <f t="shared" si="20"/>
        <v>-9742.375</v>
      </c>
      <c r="R20" s="113">
        <f t="shared" si="21"/>
        <v>93.489479786555108</v>
      </c>
      <c r="S20" s="113">
        <f t="shared" si="22"/>
        <v>46.744739893277554</v>
      </c>
      <c r="T20" s="129">
        <f>T21+T22</f>
        <v>132620.274</v>
      </c>
      <c r="U20" s="130">
        <f t="shared" si="23"/>
        <v>7277.8509999999951</v>
      </c>
      <c r="V20" s="131">
        <f t="shared" si="26"/>
        <v>105.48773636223976</v>
      </c>
    </row>
    <row r="21" spans="1:25" s="60" customFormat="1" ht="97.5" x14ac:dyDescent="0.25">
      <c r="A21" s="57" t="s">
        <v>143</v>
      </c>
      <c r="B21" s="102" t="s">
        <v>127</v>
      </c>
      <c r="C21" s="46">
        <v>14040100</v>
      </c>
      <c r="D21" s="129">
        <v>179000</v>
      </c>
      <c r="E21" s="129">
        <v>172281</v>
      </c>
      <c r="F21" s="129">
        <f t="shared" si="16"/>
        <v>80585.498000000007</v>
      </c>
      <c r="G21" s="129">
        <v>15616.877</v>
      </c>
      <c r="H21" s="129">
        <v>7234.652</v>
      </c>
      <c r="I21" s="129">
        <v>12636.714</v>
      </c>
      <c r="J21" s="129">
        <v>12694.672</v>
      </c>
      <c r="K21" s="129">
        <v>16717.552</v>
      </c>
      <c r="L21" s="129">
        <v>15685.031000000001</v>
      </c>
      <c r="M21" s="129">
        <v>80340.600000000006</v>
      </c>
      <c r="N21" s="129">
        <f t="shared" si="17"/>
        <v>244.89800000000105</v>
      </c>
      <c r="O21" s="113">
        <f t="shared" si="18"/>
        <v>100.30482470880227</v>
      </c>
      <c r="P21" s="129">
        <f t="shared" si="19"/>
        <v>86140.5</v>
      </c>
      <c r="Q21" s="129">
        <f t="shared" si="20"/>
        <v>-5555.0019999999931</v>
      </c>
      <c r="R21" s="113">
        <f t="shared" si="21"/>
        <v>93.551230837991426</v>
      </c>
      <c r="S21" s="113">
        <f t="shared" si="22"/>
        <v>46.775615418995713</v>
      </c>
      <c r="T21" s="129">
        <v>78041.264999999999</v>
      </c>
      <c r="U21" s="130">
        <f t="shared" si="23"/>
        <v>2544.2330000000075</v>
      </c>
      <c r="V21" s="131">
        <f t="shared" si="26"/>
        <v>103.26011245460975</v>
      </c>
    </row>
    <row r="22" spans="1:25" s="60" customFormat="1" ht="78" x14ac:dyDescent="0.25">
      <c r="A22" s="57" t="s">
        <v>144</v>
      </c>
      <c r="B22" s="102" t="s">
        <v>128</v>
      </c>
      <c r="C22" s="46">
        <v>14040200</v>
      </c>
      <c r="D22" s="129">
        <v>127000</v>
      </c>
      <c r="E22" s="129">
        <v>127000</v>
      </c>
      <c r="F22" s="129">
        <f t="shared" si="16"/>
        <v>59312.627000000008</v>
      </c>
      <c r="G22" s="129">
        <v>11491.681</v>
      </c>
      <c r="H22" s="129">
        <v>8245.7929999999997</v>
      </c>
      <c r="I22" s="129">
        <v>8943.3510000000006</v>
      </c>
      <c r="J22" s="129">
        <v>9676.6919999999991</v>
      </c>
      <c r="K22" s="129">
        <v>9863.8770000000004</v>
      </c>
      <c r="L22" s="129">
        <v>11091.233</v>
      </c>
      <c r="M22" s="129">
        <v>54470</v>
      </c>
      <c r="N22" s="129">
        <f t="shared" si="17"/>
        <v>4842.6270000000077</v>
      </c>
      <c r="O22" s="113">
        <f t="shared" si="18"/>
        <v>108.89044795300167</v>
      </c>
      <c r="P22" s="129">
        <f t="shared" si="19"/>
        <v>63500</v>
      </c>
      <c r="Q22" s="129">
        <f t="shared" si="20"/>
        <v>-4187.3729999999923</v>
      </c>
      <c r="R22" s="113">
        <f t="shared" si="21"/>
        <v>93.405711811023636</v>
      </c>
      <c r="S22" s="113">
        <f t="shared" si="22"/>
        <v>46.702855905511818</v>
      </c>
      <c r="T22" s="129">
        <v>54579.008999999998</v>
      </c>
      <c r="U22" s="130">
        <f t="shared" si="23"/>
        <v>4733.6180000000095</v>
      </c>
      <c r="V22" s="131">
        <f t="shared" si="26"/>
        <v>108.6729643625446</v>
      </c>
    </row>
    <row r="23" spans="1:25" s="73" customFormat="1" ht="23.25" x14ac:dyDescent="0.25">
      <c r="A23" s="142">
        <v>5</v>
      </c>
      <c r="B23" s="61" t="s">
        <v>188</v>
      </c>
      <c r="C23" s="53" t="s">
        <v>129</v>
      </c>
      <c r="D23" s="128">
        <v>0</v>
      </c>
      <c r="E23" s="128">
        <v>0</v>
      </c>
      <c r="F23" s="128">
        <f t="shared" si="16"/>
        <v>1.867</v>
      </c>
      <c r="G23" s="128">
        <v>0</v>
      </c>
      <c r="H23" s="128">
        <v>0</v>
      </c>
      <c r="I23" s="128">
        <v>1.867</v>
      </c>
      <c r="J23" s="128"/>
      <c r="K23" s="128"/>
      <c r="L23" s="128"/>
      <c r="M23" s="128"/>
      <c r="N23" s="128">
        <f t="shared" si="17"/>
        <v>1.867</v>
      </c>
      <c r="O23" s="112"/>
      <c r="P23" s="128">
        <f t="shared" si="19"/>
        <v>0</v>
      </c>
      <c r="Q23" s="128">
        <f t="shared" si="20"/>
        <v>1.867</v>
      </c>
      <c r="R23" s="112"/>
      <c r="S23" s="112"/>
      <c r="T23" s="128">
        <v>1.2E-2</v>
      </c>
      <c r="U23" s="83">
        <f t="shared" si="23"/>
        <v>1.855</v>
      </c>
      <c r="V23" s="84">
        <f t="shared" si="26"/>
        <v>15558.333333333334</v>
      </c>
      <c r="W23" s="96"/>
      <c r="X23" s="96"/>
    </row>
    <row r="24" spans="1:25" s="73" customFormat="1" ht="39" x14ac:dyDescent="0.25">
      <c r="A24" s="142">
        <v>5</v>
      </c>
      <c r="B24" s="61" t="s">
        <v>126</v>
      </c>
      <c r="C24" s="53" t="s">
        <v>38</v>
      </c>
      <c r="D24" s="128">
        <f>D25+D26+D27+D29+D28</f>
        <v>1522620.5</v>
      </c>
      <c r="E24" s="128">
        <f>E25+E26+E27+E29+E28</f>
        <v>1526487.2930000001</v>
      </c>
      <c r="F24" s="128">
        <f t="shared" si="16"/>
        <v>801582.28200000012</v>
      </c>
      <c r="G24" s="128">
        <f t="shared" ref="G24:M24" si="34">G25+G26+G27+G29+G28</f>
        <v>166303.29399999999</v>
      </c>
      <c r="H24" s="128">
        <f t="shared" ref="H24:K24" si="35">H25+H26+H27+H29+H28</f>
        <v>166294.84599999999</v>
      </c>
      <c r="I24" s="128">
        <f t="shared" si="35"/>
        <v>80628.866000000009</v>
      </c>
      <c r="J24" s="128">
        <f t="shared" si="35"/>
        <v>168253.326</v>
      </c>
      <c r="K24" s="128">
        <f t="shared" si="35"/>
        <v>145102.02800000002</v>
      </c>
      <c r="L24" s="128">
        <f t="shared" si="34"/>
        <v>74999.922000000006</v>
      </c>
      <c r="M24" s="128">
        <f t="shared" si="34"/>
        <v>780812.59100000001</v>
      </c>
      <c r="N24" s="128">
        <f t="shared" si="17"/>
        <v>20769.691000000108</v>
      </c>
      <c r="O24" s="112">
        <f t="shared" si="18"/>
        <v>102.6600097436185</v>
      </c>
      <c r="P24" s="128">
        <f t="shared" si="19"/>
        <v>763243.64650000003</v>
      </c>
      <c r="Q24" s="128">
        <f t="shared" si="20"/>
        <v>38338.635500000091</v>
      </c>
      <c r="R24" s="112">
        <f t="shared" si="21"/>
        <v>105.02311885278171</v>
      </c>
      <c r="S24" s="112">
        <f t="shared" si="22"/>
        <v>52.511559426390853</v>
      </c>
      <c r="T24" s="128">
        <f t="shared" ref="T24" si="36">T25+T26+T27+T29+T28</f>
        <v>619252.30200000003</v>
      </c>
      <c r="U24" s="83">
        <f t="shared" si="23"/>
        <v>182329.9800000001</v>
      </c>
      <c r="V24" s="84">
        <f t="shared" ref="V24:V31" si="37">F24/T24*100</f>
        <v>129.44356918999392</v>
      </c>
      <c r="W24" s="96">
        <f>T26+T27+T25</f>
        <v>216967.49400000001</v>
      </c>
      <c r="X24" s="96">
        <f>F25+F26+F27</f>
        <v>259551.95400000003</v>
      </c>
    </row>
    <row r="25" spans="1:25" s="75" customFormat="1" ht="23.25" x14ac:dyDescent="0.25">
      <c r="A25" s="74" t="s">
        <v>162</v>
      </c>
      <c r="B25" s="103" t="s">
        <v>57</v>
      </c>
      <c r="C25" s="156" t="s">
        <v>44</v>
      </c>
      <c r="D25" s="129">
        <f>1130+29500+34000+106300</f>
        <v>170930</v>
      </c>
      <c r="E25" s="129">
        <f>1130+29500+34000+106300</f>
        <v>170930</v>
      </c>
      <c r="F25" s="129">
        <f t="shared" si="16"/>
        <v>96853.541000000012</v>
      </c>
      <c r="G25" s="129">
        <v>22984.595000000001</v>
      </c>
      <c r="H25" s="129">
        <v>12356.476000000001</v>
      </c>
      <c r="I25" s="129">
        <v>11892.504000000001</v>
      </c>
      <c r="J25" s="129">
        <v>25969.126</v>
      </c>
      <c r="K25" s="129">
        <v>12545.951999999999</v>
      </c>
      <c r="L25" s="129">
        <v>11104.888000000001</v>
      </c>
      <c r="M25" s="129">
        <v>95631.789000000004</v>
      </c>
      <c r="N25" s="129">
        <f t="shared" si="17"/>
        <v>1221.7520000000077</v>
      </c>
      <c r="O25" s="113">
        <f t="shared" si="18"/>
        <v>101.27755844868697</v>
      </c>
      <c r="P25" s="129">
        <f t="shared" si="19"/>
        <v>85465</v>
      </c>
      <c r="Q25" s="129">
        <f t="shared" si="20"/>
        <v>11388.541000000012</v>
      </c>
      <c r="R25" s="113">
        <f t="shared" si="21"/>
        <v>113.32538583045692</v>
      </c>
      <c r="S25" s="113">
        <f t="shared" si="22"/>
        <v>56.662692915228462</v>
      </c>
      <c r="T25" s="129">
        <v>69948.835999999996</v>
      </c>
      <c r="U25" s="130">
        <f t="shared" si="23"/>
        <v>26904.705000000016</v>
      </c>
      <c r="V25" s="131">
        <f t="shared" si="37"/>
        <v>138.4634063102923</v>
      </c>
    </row>
    <row r="26" spans="1:25" s="75" customFormat="1" ht="23.25" x14ac:dyDescent="0.25">
      <c r="A26" s="57" t="s">
        <v>163</v>
      </c>
      <c r="B26" s="103" t="s">
        <v>7</v>
      </c>
      <c r="C26" s="156"/>
      <c r="D26" s="129">
        <f>139000+145000+28500+14000</f>
        <v>326500</v>
      </c>
      <c r="E26" s="129">
        <f>139000+145000+28500+14000</f>
        <v>326500</v>
      </c>
      <c r="F26" s="129">
        <f t="shared" si="16"/>
        <v>161222.255</v>
      </c>
      <c r="G26" s="129">
        <v>22702.335999999999</v>
      </c>
      <c r="H26" s="129">
        <v>31099.098999999998</v>
      </c>
      <c r="I26" s="129">
        <v>28599.886999999999</v>
      </c>
      <c r="J26" s="129">
        <v>26354.705000000002</v>
      </c>
      <c r="K26" s="129">
        <v>26764.896000000001</v>
      </c>
      <c r="L26" s="129">
        <v>25701.331999999999</v>
      </c>
      <c r="M26" s="129">
        <v>158465</v>
      </c>
      <c r="N26" s="129">
        <f t="shared" si="17"/>
        <v>2757.2550000000047</v>
      </c>
      <c r="O26" s="113">
        <f t="shared" si="18"/>
        <v>101.73997728204967</v>
      </c>
      <c r="P26" s="129">
        <f t="shared" si="19"/>
        <v>163250</v>
      </c>
      <c r="Q26" s="129">
        <f t="shared" si="20"/>
        <v>-2027.7449999999953</v>
      </c>
      <c r="R26" s="113">
        <f t="shared" si="21"/>
        <v>98.757889739663099</v>
      </c>
      <c r="S26" s="113">
        <f t="shared" si="22"/>
        <v>49.37894486983155</v>
      </c>
      <c r="T26" s="129">
        <v>146327.505</v>
      </c>
      <c r="U26" s="130">
        <f t="shared" si="23"/>
        <v>14894.75</v>
      </c>
      <c r="V26" s="131">
        <f t="shared" si="37"/>
        <v>110.17905006990996</v>
      </c>
    </row>
    <row r="27" spans="1:25" s="75" customFormat="1" ht="23.25" x14ac:dyDescent="0.25">
      <c r="A27" s="57" t="s">
        <v>164</v>
      </c>
      <c r="B27" s="103" t="s">
        <v>58</v>
      </c>
      <c r="C27" s="156"/>
      <c r="D27" s="129">
        <f>1000+980.5</f>
        <v>1980.5</v>
      </c>
      <c r="E27" s="129">
        <f>1000+980.5</f>
        <v>1980.5</v>
      </c>
      <c r="F27" s="129">
        <f t="shared" si="16"/>
        <v>1476.1579999999999</v>
      </c>
      <c r="G27" s="129">
        <v>305.23899999999998</v>
      </c>
      <c r="H27" s="129">
        <v>303.30200000000002</v>
      </c>
      <c r="I27" s="129">
        <v>121.78100000000001</v>
      </c>
      <c r="J27" s="129">
        <v>300.91000000000003</v>
      </c>
      <c r="K27" s="129">
        <v>144.66300000000001</v>
      </c>
      <c r="L27" s="129">
        <v>300.26299999999998</v>
      </c>
      <c r="M27" s="129">
        <v>1427.5</v>
      </c>
      <c r="N27" s="129">
        <f t="shared" si="17"/>
        <v>48.657999999999902</v>
      </c>
      <c r="O27" s="113">
        <f t="shared" si="18"/>
        <v>103.40861646234676</v>
      </c>
      <c r="P27" s="129">
        <f t="shared" si="19"/>
        <v>990.25</v>
      </c>
      <c r="Q27" s="129">
        <f t="shared" si="20"/>
        <v>485.9079999999999</v>
      </c>
      <c r="R27" s="113">
        <f t="shared" si="21"/>
        <v>149.06922494319613</v>
      </c>
      <c r="S27" s="113">
        <f t="shared" si="22"/>
        <v>74.534612471598066</v>
      </c>
      <c r="T27" s="129">
        <v>691.15300000000002</v>
      </c>
      <c r="U27" s="130">
        <f t="shared" si="23"/>
        <v>785.00499999999988</v>
      </c>
      <c r="V27" s="131">
        <f t="shared" si="37"/>
        <v>213.5790483438544</v>
      </c>
      <c r="W27" s="131">
        <f>100-V27</f>
        <v>-113.5790483438544</v>
      </c>
      <c r="X27" s="76"/>
      <c r="Y27" s="77" t="e">
        <f>F25/#REF!*100</f>
        <v>#REF!</v>
      </c>
    </row>
    <row r="28" spans="1:25" s="79" customFormat="1" ht="23.25" x14ac:dyDescent="0.25">
      <c r="A28" s="57" t="s">
        <v>165</v>
      </c>
      <c r="B28" s="103" t="s">
        <v>40</v>
      </c>
      <c r="C28" s="78" t="s">
        <v>39</v>
      </c>
      <c r="D28" s="129">
        <v>2710</v>
      </c>
      <c r="E28" s="129">
        <v>2710</v>
      </c>
      <c r="F28" s="129">
        <f t="shared" si="16"/>
        <v>1408.6319999999998</v>
      </c>
      <c r="G28" s="129">
        <v>229.9</v>
      </c>
      <c r="H28" s="129">
        <v>363.15800000000002</v>
      </c>
      <c r="I28" s="129">
        <v>125.917</v>
      </c>
      <c r="J28" s="129">
        <v>263.55799999999999</v>
      </c>
      <c r="K28" s="129">
        <v>277.60500000000002</v>
      </c>
      <c r="L28" s="129">
        <v>148.494</v>
      </c>
      <c r="M28" s="129">
        <v>1401</v>
      </c>
      <c r="N28" s="129">
        <f t="shared" si="17"/>
        <v>7.6319999999998345</v>
      </c>
      <c r="O28" s="113">
        <f t="shared" si="18"/>
        <v>100.54475374732333</v>
      </c>
      <c r="P28" s="129">
        <f t="shared" si="19"/>
        <v>1355</v>
      </c>
      <c r="Q28" s="129">
        <f t="shared" si="20"/>
        <v>53.631999999999834</v>
      </c>
      <c r="R28" s="113">
        <f t="shared" si="21"/>
        <v>103.9580811808118</v>
      </c>
      <c r="S28" s="113">
        <f t="shared" si="22"/>
        <v>51.979040590405901</v>
      </c>
      <c r="T28" s="129">
        <v>1034.2729999999999</v>
      </c>
      <c r="U28" s="129">
        <f t="shared" si="23"/>
        <v>374.35899999999992</v>
      </c>
      <c r="V28" s="131">
        <f t="shared" si="37"/>
        <v>136.19537588238308</v>
      </c>
    </row>
    <row r="29" spans="1:25" s="75" customFormat="1" ht="23.25" x14ac:dyDescent="0.25">
      <c r="A29" s="57" t="s">
        <v>166</v>
      </c>
      <c r="B29" s="103" t="s">
        <v>33</v>
      </c>
      <c r="C29" s="141" t="s">
        <v>34</v>
      </c>
      <c r="D29" s="129">
        <v>1020500</v>
      </c>
      <c r="E29" s="129">
        <v>1024366.7929999999</v>
      </c>
      <c r="F29" s="129">
        <f t="shared" si="16"/>
        <v>540621.696</v>
      </c>
      <c r="G29" s="129">
        <v>120081.224</v>
      </c>
      <c r="H29" s="129">
        <v>122172.811</v>
      </c>
      <c r="I29" s="129">
        <v>39888.777000000002</v>
      </c>
      <c r="J29" s="129">
        <v>115365.027</v>
      </c>
      <c r="K29" s="129">
        <v>105368.912</v>
      </c>
      <c r="L29" s="129">
        <v>37744.945</v>
      </c>
      <c r="M29" s="129">
        <v>523887.30200000003</v>
      </c>
      <c r="N29" s="129">
        <f t="shared" si="17"/>
        <v>16734.393999999971</v>
      </c>
      <c r="O29" s="113">
        <f t="shared" si="18"/>
        <v>103.19427364170014</v>
      </c>
      <c r="P29" s="129">
        <f t="shared" si="19"/>
        <v>512183.39650000003</v>
      </c>
      <c r="Q29" s="129">
        <f t="shared" si="20"/>
        <v>28438.299499999965</v>
      </c>
      <c r="R29" s="113">
        <f t="shared" si="21"/>
        <v>105.55236653400574</v>
      </c>
      <c r="S29" s="113">
        <f t="shared" si="22"/>
        <v>52.776183267002871</v>
      </c>
      <c r="T29" s="129">
        <v>401250.53499999997</v>
      </c>
      <c r="U29" s="130">
        <f t="shared" si="23"/>
        <v>139371.16100000002</v>
      </c>
      <c r="V29" s="131">
        <f t="shared" si="37"/>
        <v>134.73419941982135</v>
      </c>
      <c r="X29" s="76"/>
      <c r="Y29" s="77" t="e">
        <f>F29/#REF!*100</f>
        <v>#REF!</v>
      </c>
    </row>
    <row r="30" spans="1:25" s="56" customFormat="1" ht="39" x14ac:dyDescent="0.25">
      <c r="A30" s="142">
        <v>6</v>
      </c>
      <c r="B30" s="61" t="s">
        <v>46</v>
      </c>
      <c r="C30" s="53" t="s">
        <v>17</v>
      </c>
      <c r="D30" s="128">
        <v>1900</v>
      </c>
      <c r="E30" s="128">
        <v>1900</v>
      </c>
      <c r="F30" s="128">
        <f t="shared" si="16"/>
        <v>1537.7179999999998</v>
      </c>
      <c r="G30" s="128">
        <v>73</v>
      </c>
      <c r="H30" s="128">
        <v>59.347000000000001</v>
      </c>
      <c r="I30" s="128">
        <v>643.04899999999998</v>
      </c>
      <c r="J30" s="128">
        <v>33.494</v>
      </c>
      <c r="K30" s="128">
        <v>727.42899999999997</v>
      </c>
      <c r="L30" s="128">
        <v>1.399</v>
      </c>
      <c r="M30" s="128">
        <v>1529</v>
      </c>
      <c r="N30" s="128">
        <f t="shared" si="17"/>
        <v>8.7179999999998472</v>
      </c>
      <c r="O30" s="112">
        <f t="shared" si="18"/>
        <v>100.57017658600391</v>
      </c>
      <c r="P30" s="128">
        <f t="shared" si="19"/>
        <v>950</v>
      </c>
      <c r="Q30" s="128">
        <f t="shared" si="20"/>
        <v>587.71799999999985</v>
      </c>
      <c r="R30" s="112">
        <f t="shared" si="21"/>
        <v>161.86505263157892</v>
      </c>
      <c r="S30" s="112">
        <f t="shared" si="22"/>
        <v>80.93252631578946</v>
      </c>
      <c r="T30" s="128">
        <v>914.38400000000001</v>
      </c>
      <c r="U30" s="83">
        <f t="shared" si="23"/>
        <v>623.33399999999983</v>
      </c>
      <c r="V30" s="84">
        <f t="shared" si="37"/>
        <v>168.16982799349069</v>
      </c>
      <c r="W30" s="55">
        <f>100-V30</f>
        <v>-68.169827993490685</v>
      </c>
    </row>
    <row r="31" spans="1:25" s="56" customFormat="1" ht="23.25" x14ac:dyDescent="0.25">
      <c r="A31" s="142">
        <f t="shared" ref="A31:A39" si="38">A30+1</f>
        <v>7</v>
      </c>
      <c r="B31" s="61" t="s">
        <v>67</v>
      </c>
      <c r="C31" s="53" t="s">
        <v>66</v>
      </c>
      <c r="D31" s="128">
        <v>20000</v>
      </c>
      <c r="E31" s="128">
        <v>23000</v>
      </c>
      <c r="F31" s="128">
        <f t="shared" si="16"/>
        <v>21868.007999999998</v>
      </c>
      <c r="G31" s="128">
        <v>0</v>
      </c>
      <c r="H31" s="128">
        <v>750.99099999999999</v>
      </c>
      <c r="I31" s="128">
        <v>1015.678</v>
      </c>
      <c r="J31" s="128">
        <v>982.91399999999999</v>
      </c>
      <c r="K31" s="128">
        <v>1015.678</v>
      </c>
      <c r="L31" s="128">
        <v>18102.746999999999</v>
      </c>
      <c r="M31" s="128">
        <v>21715</v>
      </c>
      <c r="N31" s="128">
        <f t="shared" si="17"/>
        <v>153.00799999999799</v>
      </c>
      <c r="O31" s="112">
        <f t="shared" si="18"/>
        <v>100.70461892700897</v>
      </c>
      <c r="P31" s="128">
        <f t="shared" si="19"/>
        <v>11500</v>
      </c>
      <c r="Q31" s="128">
        <f t="shared" si="20"/>
        <v>10368.007999999998</v>
      </c>
      <c r="R31" s="112">
        <f t="shared" si="21"/>
        <v>190.15659130434781</v>
      </c>
      <c r="S31" s="112">
        <f t="shared" si="22"/>
        <v>95.078295652173907</v>
      </c>
      <c r="T31" s="128">
        <v>30343.200000000001</v>
      </c>
      <c r="U31" s="83">
        <f t="shared" si="23"/>
        <v>-8475.1920000000027</v>
      </c>
      <c r="V31" s="84">
        <f t="shared" si="37"/>
        <v>72.068891876927935</v>
      </c>
    </row>
    <row r="32" spans="1:25" s="56" customFormat="1" ht="23.25" x14ac:dyDescent="0.25">
      <c r="A32" s="142">
        <f t="shared" si="38"/>
        <v>8</v>
      </c>
      <c r="B32" s="61" t="s">
        <v>8</v>
      </c>
      <c r="C32" s="53" t="s">
        <v>18</v>
      </c>
      <c r="D32" s="128">
        <v>500</v>
      </c>
      <c r="E32" s="128">
        <v>500</v>
      </c>
      <c r="F32" s="128">
        <f t="shared" si="16"/>
        <v>213.614</v>
      </c>
      <c r="G32" s="128">
        <v>0</v>
      </c>
      <c r="H32" s="128">
        <v>91.486000000000004</v>
      </c>
      <c r="I32" s="128">
        <v>0</v>
      </c>
      <c r="J32" s="128">
        <v>0</v>
      </c>
      <c r="K32" s="128">
        <v>122.128</v>
      </c>
      <c r="L32" s="128">
        <v>0</v>
      </c>
      <c r="M32" s="128">
        <v>211</v>
      </c>
      <c r="N32" s="128">
        <f t="shared" si="17"/>
        <v>2.6140000000000043</v>
      </c>
      <c r="O32" s="112">
        <f t="shared" si="18"/>
        <v>101.23886255924171</v>
      </c>
      <c r="P32" s="128">
        <f t="shared" si="19"/>
        <v>250</v>
      </c>
      <c r="Q32" s="128">
        <f t="shared" si="20"/>
        <v>-36.385999999999996</v>
      </c>
      <c r="R32" s="112">
        <f t="shared" si="21"/>
        <v>85.445599999999999</v>
      </c>
      <c r="S32" s="112">
        <f t="shared" si="22"/>
        <v>42.722799999999999</v>
      </c>
      <c r="T32" s="128">
        <v>845.92</v>
      </c>
      <c r="U32" s="83">
        <f t="shared" si="23"/>
        <v>-632.30599999999993</v>
      </c>
      <c r="V32" s="84">
        <f t="shared" ref="V32:V37" si="39">F32/T32*100</f>
        <v>25.252269718176663</v>
      </c>
    </row>
    <row r="33" spans="1:24" s="56" customFormat="1" ht="78" x14ac:dyDescent="0.25">
      <c r="A33" s="142">
        <f t="shared" si="38"/>
        <v>9</v>
      </c>
      <c r="B33" s="108" t="s">
        <v>84</v>
      </c>
      <c r="C33" s="70" t="s">
        <v>85</v>
      </c>
      <c r="D33" s="128">
        <v>5</v>
      </c>
      <c r="E33" s="128">
        <v>18</v>
      </c>
      <c r="F33" s="128">
        <f t="shared" si="16"/>
        <v>17.280999999999999</v>
      </c>
      <c r="G33" s="128">
        <v>0</v>
      </c>
      <c r="H33" s="128">
        <v>0.30599999999999999</v>
      </c>
      <c r="I33" s="128">
        <v>7.51</v>
      </c>
      <c r="J33" s="128">
        <v>3.2069999999999999</v>
      </c>
      <c r="K33" s="128">
        <v>5.258</v>
      </c>
      <c r="L33" s="128">
        <v>1</v>
      </c>
      <c r="M33" s="128">
        <v>17.2</v>
      </c>
      <c r="N33" s="128">
        <f t="shared" si="17"/>
        <v>8.0999999999999517E-2</v>
      </c>
      <c r="O33" s="112">
        <f t="shared" si="18"/>
        <v>100.47093023255813</v>
      </c>
      <c r="P33" s="128">
        <f t="shared" si="19"/>
        <v>9</v>
      </c>
      <c r="Q33" s="128">
        <f t="shared" si="20"/>
        <v>8.2809999999999988</v>
      </c>
      <c r="R33" s="112">
        <f t="shared" si="21"/>
        <v>192.01111111111109</v>
      </c>
      <c r="S33" s="112">
        <f t="shared" si="22"/>
        <v>96.005555555555546</v>
      </c>
      <c r="T33" s="128">
        <v>-10.64</v>
      </c>
      <c r="U33" s="83">
        <f t="shared" si="23"/>
        <v>27.920999999999999</v>
      </c>
      <c r="V33" s="84">
        <f t="shared" si="39"/>
        <v>-162.41541353383457</v>
      </c>
    </row>
    <row r="34" spans="1:24" s="56" customFormat="1" ht="23.25" x14ac:dyDescent="0.25">
      <c r="A34" s="142">
        <f t="shared" si="38"/>
        <v>10</v>
      </c>
      <c r="B34" s="88" t="s">
        <v>30</v>
      </c>
      <c r="C34" s="53" t="s">
        <v>24</v>
      </c>
      <c r="D34" s="128">
        <v>16000</v>
      </c>
      <c r="E34" s="128">
        <v>16000</v>
      </c>
      <c r="F34" s="128">
        <f t="shared" si="16"/>
        <v>7602.4629999999997</v>
      </c>
      <c r="G34" s="128">
        <v>1249.509</v>
      </c>
      <c r="H34" s="128">
        <v>1180.684</v>
      </c>
      <c r="I34" s="128">
        <v>1380.37</v>
      </c>
      <c r="J34" s="128">
        <v>1302.2090000000001</v>
      </c>
      <c r="K34" s="128">
        <v>1416.192</v>
      </c>
      <c r="L34" s="128">
        <v>1073.499</v>
      </c>
      <c r="M34" s="128">
        <v>7540</v>
      </c>
      <c r="N34" s="128">
        <f t="shared" si="17"/>
        <v>62.462999999999738</v>
      </c>
      <c r="O34" s="112">
        <f t="shared" si="18"/>
        <v>100.82842175066314</v>
      </c>
      <c r="P34" s="128">
        <f t="shared" si="19"/>
        <v>8000</v>
      </c>
      <c r="Q34" s="128">
        <f t="shared" si="20"/>
        <v>-397.53700000000026</v>
      </c>
      <c r="R34" s="112">
        <f t="shared" si="21"/>
        <v>95.030787499999988</v>
      </c>
      <c r="S34" s="112">
        <f t="shared" si="22"/>
        <v>47.515393749999994</v>
      </c>
      <c r="T34" s="128">
        <v>6728.6</v>
      </c>
      <c r="U34" s="83">
        <f t="shared" si="23"/>
        <v>873.86299999999937</v>
      </c>
      <c r="V34" s="84">
        <f t="shared" si="39"/>
        <v>112.9872930475879</v>
      </c>
      <c r="W34" s="55">
        <f>100-V34</f>
        <v>-12.987293047587897</v>
      </c>
    </row>
    <row r="35" spans="1:24" s="56" customFormat="1" ht="39" x14ac:dyDescent="0.25">
      <c r="A35" s="142">
        <f t="shared" si="38"/>
        <v>11</v>
      </c>
      <c r="B35" s="88" t="s">
        <v>77</v>
      </c>
      <c r="C35" s="53" t="s">
        <v>76</v>
      </c>
      <c r="D35" s="128">
        <v>760</v>
      </c>
      <c r="E35" s="128">
        <v>760</v>
      </c>
      <c r="F35" s="128">
        <f t="shared" si="16"/>
        <v>571.73300000000006</v>
      </c>
      <c r="G35" s="128">
        <v>6.8</v>
      </c>
      <c r="H35" s="128">
        <v>119</v>
      </c>
      <c r="I35" s="128">
        <v>106.8</v>
      </c>
      <c r="J35" s="128">
        <v>171.6</v>
      </c>
      <c r="K35" s="128">
        <v>88.4</v>
      </c>
      <c r="L35" s="128">
        <v>79.132999999999996</v>
      </c>
      <c r="M35" s="128">
        <v>554.6</v>
      </c>
      <c r="N35" s="128">
        <f t="shared" si="17"/>
        <v>17.133000000000038</v>
      </c>
      <c r="O35" s="112">
        <f t="shared" si="18"/>
        <v>103.08925351604761</v>
      </c>
      <c r="P35" s="128">
        <f t="shared" si="19"/>
        <v>380</v>
      </c>
      <c r="Q35" s="128">
        <f t="shared" si="20"/>
        <v>191.73300000000006</v>
      </c>
      <c r="R35" s="112">
        <f t="shared" si="21"/>
        <v>150.45605263157898</v>
      </c>
      <c r="S35" s="112">
        <f t="shared" si="22"/>
        <v>75.228026315789492</v>
      </c>
      <c r="T35" s="128">
        <v>385.04399999999998</v>
      </c>
      <c r="U35" s="83">
        <f t="shared" si="23"/>
        <v>186.68900000000008</v>
      </c>
      <c r="V35" s="84">
        <f t="shared" si="39"/>
        <v>148.48510819542705</v>
      </c>
    </row>
    <row r="36" spans="1:24" s="56" customFormat="1" ht="58.5" x14ac:dyDescent="0.25">
      <c r="A36" s="142">
        <f t="shared" si="38"/>
        <v>12</v>
      </c>
      <c r="B36" s="88" t="s">
        <v>172</v>
      </c>
      <c r="C36" s="53" t="s">
        <v>102</v>
      </c>
      <c r="D36" s="128">
        <v>21300</v>
      </c>
      <c r="E36" s="128">
        <v>21300</v>
      </c>
      <c r="F36" s="128">
        <f t="shared" si="16"/>
        <v>11393.872000000001</v>
      </c>
      <c r="G36" s="128">
        <v>1536.7550000000001</v>
      </c>
      <c r="H36" s="128">
        <v>2469.8440000000001</v>
      </c>
      <c r="I36" s="128">
        <v>1780.732</v>
      </c>
      <c r="J36" s="128">
        <v>1746.1220000000001</v>
      </c>
      <c r="K36" s="128">
        <v>1764.364</v>
      </c>
      <c r="L36" s="128">
        <v>2096.0549999999998</v>
      </c>
      <c r="M36" s="128">
        <v>11125</v>
      </c>
      <c r="N36" s="128">
        <f t="shared" si="17"/>
        <v>268.87200000000121</v>
      </c>
      <c r="O36" s="112">
        <f t="shared" si="18"/>
        <v>102.41682696629215</v>
      </c>
      <c r="P36" s="128">
        <f t="shared" si="19"/>
        <v>10650</v>
      </c>
      <c r="Q36" s="128">
        <f t="shared" si="20"/>
        <v>743.87200000000121</v>
      </c>
      <c r="R36" s="112">
        <f t="shared" si="21"/>
        <v>106.98471361502348</v>
      </c>
      <c r="S36" s="112">
        <f t="shared" si="22"/>
        <v>53.49235680751174</v>
      </c>
      <c r="T36" s="128">
        <v>10105.025000000001</v>
      </c>
      <c r="U36" s="83">
        <f t="shared" si="23"/>
        <v>1288.8469999999998</v>
      </c>
      <c r="V36" s="84">
        <f t="shared" si="39"/>
        <v>112.75451569887258</v>
      </c>
    </row>
    <row r="37" spans="1:24" s="56" customFormat="1" ht="48" customHeight="1" x14ac:dyDescent="0.25">
      <c r="A37" s="142">
        <f>A36+1</f>
        <v>13</v>
      </c>
      <c r="B37" s="88" t="s">
        <v>131</v>
      </c>
      <c r="C37" s="53" t="s">
        <v>130</v>
      </c>
      <c r="D37" s="128">
        <v>3800</v>
      </c>
      <c r="E37" s="128">
        <v>3800</v>
      </c>
      <c r="F37" s="128">
        <f t="shared" si="16"/>
        <v>646.91</v>
      </c>
      <c r="G37" s="128">
        <v>143.596</v>
      </c>
      <c r="H37" s="128">
        <v>99.881</v>
      </c>
      <c r="I37" s="128">
        <v>91.864999999999995</v>
      </c>
      <c r="J37" s="128">
        <v>86.191000000000003</v>
      </c>
      <c r="K37" s="128">
        <v>116.09399999999999</v>
      </c>
      <c r="L37" s="128">
        <v>109.283</v>
      </c>
      <c r="M37" s="128">
        <v>633</v>
      </c>
      <c r="N37" s="128">
        <f t="shared" si="17"/>
        <v>13.909999999999968</v>
      </c>
      <c r="O37" s="112">
        <f t="shared" si="18"/>
        <v>102.19747235387044</v>
      </c>
      <c r="P37" s="128">
        <f t="shared" si="19"/>
        <v>1900</v>
      </c>
      <c r="Q37" s="128">
        <f t="shared" si="20"/>
        <v>-1253.0900000000001</v>
      </c>
      <c r="R37" s="112">
        <f t="shared" si="21"/>
        <v>34.047894736842103</v>
      </c>
      <c r="S37" s="112">
        <f t="shared" si="22"/>
        <v>17.023947368421052</v>
      </c>
      <c r="T37" s="128">
        <v>1570.3059999999998</v>
      </c>
      <c r="U37" s="83">
        <f t="shared" si="23"/>
        <v>-923.39599999999984</v>
      </c>
      <c r="V37" s="84">
        <f t="shared" si="39"/>
        <v>41.196429230990653</v>
      </c>
    </row>
    <row r="38" spans="1:24" s="56" customFormat="1" ht="64.5" customHeight="1" x14ac:dyDescent="0.25">
      <c r="A38" s="142">
        <f t="shared" si="38"/>
        <v>14</v>
      </c>
      <c r="B38" s="88" t="s">
        <v>123</v>
      </c>
      <c r="C38" s="53" t="s">
        <v>124</v>
      </c>
      <c r="D38" s="128">
        <v>50</v>
      </c>
      <c r="E38" s="128">
        <v>50</v>
      </c>
      <c r="F38" s="128">
        <f t="shared" si="16"/>
        <v>32.326000000000001</v>
      </c>
      <c r="G38" s="128">
        <v>3.55</v>
      </c>
      <c r="H38" s="128">
        <v>2.84</v>
      </c>
      <c r="I38" s="128">
        <v>6.39</v>
      </c>
      <c r="J38" s="128">
        <v>13.156000000000001</v>
      </c>
      <c r="K38" s="128">
        <v>4.97</v>
      </c>
      <c r="L38" s="128">
        <v>1.42</v>
      </c>
      <c r="M38" s="128">
        <v>31.9</v>
      </c>
      <c r="N38" s="128">
        <f t="shared" si="17"/>
        <v>0.42600000000000193</v>
      </c>
      <c r="O38" s="112">
        <f t="shared" si="18"/>
        <v>101.33542319749216</v>
      </c>
      <c r="P38" s="128">
        <f t="shared" si="19"/>
        <v>25</v>
      </c>
      <c r="Q38" s="128">
        <f t="shared" si="20"/>
        <v>7.3260000000000005</v>
      </c>
      <c r="R38" s="112">
        <f t="shared" si="21"/>
        <v>129.304</v>
      </c>
      <c r="S38" s="112">
        <f t="shared" si="22"/>
        <v>64.652000000000001</v>
      </c>
      <c r="T38" s="128">
        <v>20.079999999999998</v>
      </c>
      <c r="U38" s="83">
        <f t="shared" si="23"/>
        <v>12.246000000000002</v>
      </c>
      <c r="V38" s="84">
        <f t="shared" ref="V38:V48" si="40">F38/T38*100</f>
        <v>160.98605577689244</v>
      </c>
    </row>
    <row r="39" spans="1:24" s="56" customFormat="1" ht="23.25" x14ac:dyDescent="0.25">
      <c r="A39" s="142">
        <f t="shared" si="38"/>
        <v>15</v>
      </c>
      <c r="B39" s="88" t="s">
        <v>79</v>
      </c>
      <c r="C39" s="53" t="s">
        <v>78</v>
      </c>
      <c r="D39" s="128">
        <f>SUM(D40:D43)</f>
        <v>40666</v>
      </c>
      <c r="E39" s="128">
        <f>SUM(E40:E43)</f>
        <v>40666</v>
      </c>
      <c r="F39" s="128">
        <f t="shared" si="16"/>
        <v>26392.637000000002</v>
      </c>
      <c r="G39" s="128">
        <f t="shared" ref="G39:M39" si="41">SUM(G40:G43)</f>
        <v>1954.4269999999999</v>
      </c>
      <c r="H39" s="128">
        <f t="shared" ref="H39:K39" si="42">SUM(H40:H43)</f>
        <v>5701.3409999999994</v>
      </c>
      <c r="I39" s="128">
        <f t="shared" si="42"/>
        <v>4601.5159999999996</v>
      </c>
      <c r="J39" s="128">
        <f t="shared" si="42"/>
        <v>4892.4530000000004</v>
      </c>
      <c r="K39" s="128">
        <f t="shared" si="42"/>
        <v>5089.2879999999996</v>
      </c>
      <c r="L39" s="128">
        <f t="shared" si="41"/>
        <v>4153.6120000000001</v>
      </c>
      <c r="M39" s="128">
        <f t="shared" si="41"/>
        <v>25903.3</v>
      </c>
      <c r="N39" s="128">
        <f t="shared" si="17"/>
        <v>489.33700000000317</v>
      </c>
      <c r="O39" s="112">
        <f t="shared" si="18"/>
        <v>101.88909135129502</v>
      </c>
      <c r="P39" s="128">
        <f t="shared" si="19"/>
        <v>20333</v>
      </c>
      <c r="Q39" s="128">
        <f t="shared" si="20"/>
        <v>6059.6370000000024</v>
      </c>
      <c r="R39" s="112">
        <f t="shared" si="21"/>
        <v>129.80198199970491</v>
      </c>
      <c r="S39" s="112">
        <f t="shared" si="22"/>
        <v>64.900990999852453</v>
      </c>
      <c r="T39" s="128">
        <f t="shared" ref="T39" si="43">SUM(T40:T43)</f>
        <v>19716.406999999996</v>
      </c>
      <c r="U39" s="83">
        <f t="shared" si="23"/>
        <v>6676.2300000000068</v>
      </c>
      <c r="V39" s="84">
        <f t="shared" si="40"/>
        <v>133.86129125859497</v>
      </c>
    </row>
    <row r="40" spans="1:24" s="60" customFormat="1" ht="39" x14ac:dyDescent="0.25">
      <c r="A40" s="57" t="s">
        <v>167</v>
      </c>
      <c r="B40" s="89" t="s">
        <v>71</v>
      </c>
      <c r="C40" s="141" t="s">
        <v>70</v>
      </c>
      <c r="D40" s="129">
        <v>1700</v>
      </c>
      <c r="E40" s="129">
        <v>1700</v>
      </c>
      <c r="F40" s="129">
        <f t="shared" si="16"/>
        <v>726.27599999999995</v>
      </c>
      <c r="G40" s="129">
        <v>93.847999999999999</v>
      </c>
      <c r="H40" s="129">
        <v>135.93199999999999</v>
      </c>
      <c r="I40" s="129">
        <v>113.69199999999999</v>
      </c>
      <c r="J40" s="129">
        <v>143.21600000000001</v>
      </c>
      <c r="K40" s="129">
        <v>139.08600000000001</v>
      </c>
      <c r="L40" s="129">
        <v>100.502</v>
      </c>
      <c r="M40" s="129">
        <v>715</v>
      </c>
      <c r="N40" s="129">
        <f t="shared" si="17"/>
        <v>11.275999999999954</v>
      </c>
      <c r="O40" s="113">
        <f t="shared" si="18"/>
        <v>101.57706293706292</v>
      </c>
      <c r="P40" s="129">
        <f t="shared" si="19"/>
        <v>850</v>
      </c>
      <c r="Q40" s="129">
        <f t="shared" si="20"/>
        <v>-123.72400000000005</v>
      </c>
      <c r="R40" s="113">
        <f t="shared" si="21"/>
        <v>85.444235294117647</v>
      </c>
      <c r="S40" s="113">
        <f t="shared" si="22"/>
        <v>42.722117647058823</v>
      </c>
      <c r="T40" s="129">
        <v>716.90800000000013</v>
      </c>
      <c r="U40" s="130">
        <f t="shared" si="23"/>
        <v>9.3679999999998245</v>
      </c>
      <c r="V40" s="131">
        <f t="shared" si="40"/>
        <v>101.30672275940564</v>
      </c>
      <c r="W40" s="131">
        <f>V40-100</f>
        <v>1.3067227594056448</v>
      </c>
      <c r="X40" s="58"/>
    </row>
    <row r="41" spans="1:24" s="60" customFormat="1" ht="23.25" x14ac:dyDescent="0.25">
      <c r="A41" s="57" t="s">
        <v>168</v>
      </c>
      <c r="B41" s="90" t="s">
        <v>59</v>
      </c>
      <c r="C41" s="46" t="s">
        <v>60</v>
      </c>
      <c r="D41" s="129">
        <v>38000</v>
      </c>
      <c r="E41" s="129">
        <v>38000</v>
      </c>
      <c r="F41" s="129">
        <f t="shared" si="16"/>
        <v>25060.150999999998</v>
      </c>
      <c r="G41" s="129">
        <v>1766.579</v>
      </c>
      <c r="H41" s="129">
        <v>5454.4589999999998</v>
      </c>
      <c r="I41" s="129">
        <v>4360.1940000000004</v>
      </c>
      <c r="J41" s="129">
        <v>4659.3469999999998</v>
      </c>
      <c r="K41" s="129">
        <v>4863.9719999999998</v>
      </c>
      <c r="L41" s="129">
        <v>3955.6</v>
      </c>
      <c r="M41" s="129">
        <v>24585</v>
      </c>
      <c r="N41" s="129">
        <f t="shared" si="17"/>
        <v>475.15099999999802</v>
      </c>
      <c r="O41" s="113">
        <f t="shared" si="18"/>
        <v>101.9326865975188</v>
      </c>
      <c r="P41" s="129">
        <f t="shared" si="19"/>
        <v>19000</v>
      </c>
      <c r="Q41" s="129">
        <f t="shared" si="20"/>
        <v>6060.150999999998</v>
      </c>
      <c r="R41" s="113">
        <f t="shared" si="21"/>
        <v>131.89553157894736</v>
      </c>
      <c r="S41" s="113">
        <f t="shared" si="22"/>
        <v>65.947765789473678</v>
      </c>
      <c r="T41" s="129">
        <v>18570.820999999996</v>
      </c>
      <c r="U41" s="130">
        <f t="shared" si="23"/>
        <v>6489.3300000000017</v>
      </c>
      <c r="V41" s="131">
        <f t="shared" si="40"/>
        <v>134.94368935008313</v>
      </c>
      <c r="W41" s="131">
        <f>V41-100</f>
        <v>34.943689350083133</v>
      </c>
      <c r="X41" s="59"/>
    </row>
    <row r="42" spans="1:24" s="60" customFormat="1" ht="39" x14ac:dyDescent="0.25">
      <c r="A42" s="57" t="s">
        <v>169</v>
      </c>
      <c r="B42" s="90" t="s">
        <v>75</v>
      </c>
      <c r="C42" s="46" t="s">
        <v>72</v>
      </c>
      <c r="D42" s="129">
        <v>850</v>
      </c>
      <c r="E42" s="129">
        <v>850</v>
      </c>
      <c r="F42" s="129">
        <f t="shared" si="16"/>
        <v>521.62999999999988</v>
      </c>
      <c r="G42" s="129">
        <v>90.97</v>
      </c>
      <c r="H42" s="129">
        <v>92.99</v>
      </c>
      <c r="I42" s="129">
        <v>106.73</v>
      </c>
      <c r="J42" s="129">
        <v>85.35</v>
      </c>
      <c r="K42" s="129">
        <v>78.66</v>
      </c>
      <c r="L42" s="129">
        <v>66.930000000000007</v>
      </c>
      <c r="M42" s="129">
        <v>518</v>
      </c>
      <c r="N42" s="129">
        <f t="shared" si="17"/>
        <v>3.6299999999998818</v>
      </c>
      <c r="O42" s="113">
        <f t="shared" si="18"/>
        <v>100.70077220077218</v>
      </c>
      <c r="P42" s="129">
        <f t="shared" si="19"/>
        <v>425</v>
      </c>
      <c r="Q42" s="129">
        <f t="shared" si="20"/>
        <v>96.629999999999882</v>
      </c>
      <c r="R42" s="113">
        <f t="shared" si="21"/>
        <v>122.73647058823526</v>
      </c>
      <c r="S42" s="113">
        <f t="shared" si="22"/>
        <v>61.368235294117632</v>
      </c>
      <c r="T42" s="129">
        <v>374.988</v>
      </c>
      <c r="U42" s="130">
        <f t="shared" ref="U42:U71" si="44">F42-T42</f>
        <v>146.64199999999988</v>
      </c>
      <c r="V42" s="131">
        <f t="shared" si="40"/>
        <v>139.10578471844431</v>
      </c>
    </row>
    <row r="43" spans="1:24" s="60" customFormat="1" ht="97.5" x14ac:dyDescent="0.25">
      <c r="A43" s="57" t="s">
        <v>170</v>
      </c>
      <c r="B43" s="91" t="s">
        <v>74</v>
      </c>
      <c r="C43" s="46" t="s">
        <v>73</v>
      </c>
      <c r="D43" s="129">
        <v>116</v>
      </c>
      <c r="E43" s="129">
        <v>116</v>
      </c>
      <c r="F43" s="129">
        <f t="shared" si="16"/>
        <v>84.58</v>
      </c>
      <c r="G43" s="129">
        <v>3.03</v>
      </c>
      <c r="H43" s="129">
        <v>17.96</v>
      </c>
      <c r="I43" s="129">
        <v>20.9</v>
      </c>
      <c r="J43" s="129">
        <v>4.54</v>
      </c>
      <c r="K43" s="129">
        <v>7.57</v>
      </c>
      <c r="L43" s="129">
        <v>30.58</v>
      </c>
      <c r="M43" s="129">
        <v>85.3</v>
      </c>
      <c r="N43" s="129">
        <f t="shared" si="17"/>
        <v>-0.71999999999999886</v>
      </c>
      <c r="O43" s="113">
        <f t="shared" si="18"/>
        <v>99.155920281359911</v>
      </c>
      <c r="P43" s="129">
        <f t="shared" si="19"/>
        <v>58</v>
      </c>
      <c r="Q43" s="129">
        <f t="shared" si="20"/>
        <v>26.58</v>
      </c>
      <c r="R43" s="113">
        <f t="shared" si="21"/>
        <v>145.82758620689654</v>
      </c>
      <c r="S43" s="113">
        <f t="shared" si="22"/>
        <v>72.91379310344827</v>
      </c>
      <c r="T43" s="129">
        <v>53.690000000000005</v>
      </c>
      <c r="U43" s="130">
        <f t="shared" si="44"/>
        <v>30.889999999999993</v>
      </c>
      <c r="V43" s="131">
        <f t="shared" si="40"/>
        <v>157.53399143229649</v>
      </c>
    </row>
    <row r="44" spans="1:24" s="56" customFormat="1" ht="39" x14ac:dyDescent="0.25">
      <c r="A44" s="142">
        <v>16</v>
      </c>
      <c r="B44" s="108" t="s">
        <v>195</v>
      </c>
      <c r="C44" s="53" t="s">
        <v>194</v>
      </c>
      <c r="D44" s="128">
        <v>0</v>
      </c>
      <c r="E44" s="128">
        <v>0</v>
      </c>
      <c r="F44" s="128">
        <f t="shared" si="16"/>
        <v>5025</v>
      </c>
      <c r="G44" s="128">
        <v>0</v>
      </c>
      <c r="H44" s="128">
        <v>0</v>
      </c>
      <c r="I44" s="128">
        <v>0</v>
      </c>
      <c r="J44" s="128">
        <v>0</v>
      </c>
      <c r="K44" s="128">
        <v>5025</v>
      </c>
      <c r="L44" s="128">
        <v>0</v>
      </c>
      <c r="M44" s="128"/>
      <c r="N44" s="128">
        <f t="shared" si="17"/>
        <v>5025</v>
      </c>
      <c r="O44" s="112"/>
      <c r="P44" s="128">
        <f t="shared" si="19"/>
        <v>0</v>
      </c>
      <c r="Q44" s="128">
        <f t="shared" si="20"/>
        <v>5025</v>
      </c>
      <c r="R44" s="112"/>
      <c r="S44" s="112"/>
      <c r="T44" s="128"/>
      <c r="U44" s="83">
        <f t="shared" si="44"/>
        <v>5025</v>
      </c>
      <c r="V44" s="84"/>
    </row>
    <row r="45" spans="1:24" s="56" customFormat="1" ht="39" x14ac:dyDescent="0.25">
      <c r="A45" s="142">
        <v>17</v>
      </c>
      <c r="B45" s="108" t="s">
        <v>35</v>
      </c>
      <c r="C45" s="53" t="s">
        <v>19</v>
      </c>
      <c r="D45" s="128">
        <v>12000</v>
      </c>
      <c r="E45" s="128">
        <v>12000</v>
      </c>
      <c r="F45" s="128">
        <f t="shared" si="16"/>
        <v>5571.0219999999999</v>
      </c>
      <c r="G45" s="128">
        <v>1306.3779999999999</v>
      </c>
      <c r="H45" s="128">
        <v>690.69200000000001</v>
      </c>
      <c r="I45" s="128">
        <v>857.34799999999996</v>
      </c>
      <c r="J45" s="128">
        <v>931.36300000000006</v>
      </c>
      <c r="K45" s="128">
        <v>778.18899999999996</v>
      </c>
      <c r="L45" s="128">
        <v>1007.052</v>
      </c>
      <c r="M45" s="128">
        <v>5562</v>
      </c>
      <c r="N45" s="128">
        <f t="shared" si="17"/>
        <v>9.0219999999999345</v>
      </c>
      <c r="O45" s="112">
        <f t="shared" si="18"/>
        <v>100.16220783890685</v>
      </c>
      <c r="P45" s="128">
        <f t="shared" si="19"/>
        <v>6000</v>
      </c>
      <c r="Q45" s="128">
        <f t="shared" si="20"/>
        <v>-428.97800000000007</v>
      </c>
      <c r="R45" s="112">
        <f t="shared" si="21"/>
        <v>92.850366666666659</v>
      </c>
      <c r="S45" s="112">
        <f t="shared" si="22"/>
        <v>46.425183333333329</v>
      </c>
      <c r="T45" s="128">
        <v>9670.0869999999995</v>
      </c>
      <c r="U45" s="83">
        <f t="shared" si="44"/>
        <v>-4099.0649999999996</v>
      </c>
      <c r="V45" s="84">
        <f t="shared" si="40"/>
        <v>57.61087775115157</v>
      </c>
      <c r="W45" s="56">
        <v>3831.8429999999998</v>
      </c>
    </row>
    <row r="46" spans="1:24" s="56" customFormat="1" ht="23.25" x14ac:dyDescent="0.25">
      <c r="A46" s="142">
        <f t="shared" ref="A46:A52" si="45">A45+1</f>
        <v>18</v>
      </c>
      <c r="B46" s="61" t="s">
        <v>54</v>
      </c>
      <c r="C46" s="53" t="s">
        <v>15</v>
      </c>
      <c r="D46" s="128">
        <v>590.10500000000002</v>
      </c>
      <c r="E46" s="128">
        <v>590.10500000000002</v>
      </c>
      <c r="F46" s="128">
        <f t="shared" si="16"/>
        <v>533.00799999999992</v>
      </c>
      <c r="G46" s="128">
        <v>41.896999999999998</v>
      </c>
      <c r="H46" s="128">
        <v>55.649000000000001</v>
      </c>
      <c r="I46" s="128">
        <v>129.727</v>
      </c>
      <c r="J46" s="128">
        <v>181.876</v>
      </c>
      <c r="K46" s="128">
        <v>68.260999999999996</v>
      </c>
      <c r="L46" s="128">
        <v>55.597999999999999</v>
      </c>
      <c r="M46" s="128">
        <v>522.96100000000001</v>
      </c>
      <c r="N46" s="128">
        <f t="shared" si="17"/>
        <v>10.046999999999912</v>
      </c>
      <c r="O46" s="112">
        <f t="shared" si="18"/>
        <v>101.92117576645292</v>
      </c>
      <c r="P46" s="128">
        <f t="shared" si="19"/>
        <v>295.05250000000001</v>
      </c>
      <c r="Q46" s="128">
        <f t="shared" si="20"/>
        <v>237.95549999999992</v>
      </c>
      <c r="R46" s="112">
        <f t="shared" si="21"/>
        <v>180.64852865168061</v>
      </c>
      <c r="S46" s="112">
        <f t="shared" si="22"/>
        <v>90.324264325840304</v>
      </c>
      <c r="T46" s="128">
        <v>489.61400000000003</v>
      </c>
      <c r="U46" s="83">
        <f t="shared" si="44"/>
        <v>43.393999999999892</v>
      </c>
      <c r="V46" s="84">
        <f t="shared" si="40"/>
        <v>108.86290016216856</v>
      </c>
      <c r="W46" s="55">
        <f>100-V46</f>
        <v>-8.8629001621685575</v>
      </c>
    </row>
    <row r="47" spans="1:24" s="56" customFormat="1" ht="78" x14ac:dyDescent="0.25">
      <c r="A47" s="142">
        <f t="shared" si="45"/>
        <v>19</v>
      </c>
      <c r="B47" s="61" t="s">
        <v>90</v>
      </c>
      <c r="C47" s="53" t="s">
        <v>89</v>
      </c>
      <c r="D47" s="128">
        <v>31</v>
      </c>
      <c r="E47" s="128">
        <v>31</v>
      </c>
      <c r="F47" s="128">
        <f t="shared" si="16"/>
        <v>6.8310000000000004</v>
      </c>
      <c r="G47" s="128">
        <v>0.56399999999999995</v>
      </c>
      <c r="H47" s="128">
        <v>0</v>
      </c>
      <c r="I47" s="128">
        <v>6.2670000000000003</v>
      </c>
      <c r="J47" s="128">
        <v>0</v>
      </c>
      <c r="K47" s="128">
        <v>0</v>
      </c>
      <c r="L47" s="128">
        <v>0</v>
      </c>
      <c r="M47" s="128">
        <v>6.76</v>
      </c>
      <c r="N47" s="128">
        <f t="shared" si="17"/>
        <v>7.1000000000000618E-2</v>
      </c>
      <c r="O47" s="112">
        <f t="shared" si="18"/>
        <v>101.05029585798817</v>
      </c>
      <c r="P47" s="128">
        <f t="shared" si="19"/>
        <v>15.5</v>
      </c>
      <c r="Q47" s="128">
        <f t="shared" si="20"/>
        <v>-8.6690000000000005</v>
      </c>
      <c r="R47" s="112">
        <f t="shared" si="21"/>
        <v>44.070967741935483</v>
      </c>
      <c r="S47" s="112">
        <f t="shared" si="22"/>
        <v>22.035483870967742</v>
      </c>
      <c r="T47" s="128">
        <v>7.2810000000000006</v>
      </c>
      <c r="U47" s="83">
        <f t="shared" si="44"/>
        <v>-0.45000000000000018</v>
      </c>
      <c r="V47" s="84">
        <f t="shared" si="40"/>
        <v>93.819530284301607</v>
      </c>
    </row>
    <row r="48" spans="1:24" s="56" customFormat="1" ht="23.25" x14ac:dyDescent="0.25">
      <c r="A48" s="142">
        <f t="shared" si="45"/>
        <v>20</v>
      </c>
      <c r="B48" s="72" t="s">
        <v>61</v>
      </c>
      <c r="C48" s="31" t="s">
        <v>62</v>
      </c>
      <c r="D48" s="128">
        <v>500</v>
      </c>
      <c r="E48" s="128">
        <v>500</v>
      </c>
      <c r="F48" s="128">
        <f t="shared" si="16"/>
        <v>419.18799999999999</v>
      </c>
      <c r="G48" s="128">
        <v>0</v>
      </c>
      <c r="H48" s="128">
        <v>0</v>
      </c>
      <c r="I48" s="128">
        <v>0</v>
      </c>
      <c r="J48" s="128">
        <v>0</v>
      </c>
      <c r="K48" s="128">
        <v>0</v>
      </c>
      <c r="L48" s="128">
        <v>419.18799999999999</v>
      </c>
      <c r="M48" s="128">
        <v>419</v>
      </c>
      <c r="N48" s="128">
        <f t="shared" si="17"/>
        <v>0.18799999999998818</v>
      </c>
      <c r="O48" s="112"/>
      <c r="P48" s="128">
        <f t="shared" si="19"/>
        <v>250</v>
      </c>
      <c r="Q48" s="128">
        <f t="shared" si="20"/>
        <v>169.18799999999999</v>
      </c>
      <c r="R48" s="112">
        <f t="shared" si="21"/>
        <v>167.67519999999999</v>
      </c>
      <c r="S48" s="112">
        <f t="shared" si="22"/>
        <v>83.837599999999995</v>
      </c>
      <c r="T48" s="128">
        <v>369.09899999999999</v>
      </c>
      <c r="U48" s="83">
        <f t="shared" si="44"/>
        <v>50.088999999999999</v>
      </c>
      <c r="V48" s="84">
        <f t="shared" si="40"/>
        <v>113.57061384614968</v>
      </c>
    </row>
    <row r="49" spans="1:29" s="56" customFormat="1" ht="23.25" x14ac:dyDescent="0.25">
      <c r="A49" s="142">
        <f t="shared" si="45"/>
        <v>21</v>
      </c>
      <c r="B49" s="61" t="s">
        <v>8</v>
      </c>
      <c r="C49" s="53" t="s">
        <v>20</v>
      </c>
      <c r="D49" s="128">
        <v>1700</v>
      </c>
      <c r="E49" s="128">
        <f>1700+2100</f>
        <v>3800</v>
      </c>
      <c r="F49" s="128">
        <f t="shared" si="16"/>
        <v>3776.1579999999999</v>
      </c>
      <c r="G49" s="128">
        <v>1390.5519999999999</v>
      </c>
      <c r="H49" s="128">
        <v>786.19399999999996</v>
      </c>
      <c r="I49" s="128">
        <v>844.37199999999996</v>
      </c>
      <c r="J49" s="128">
        <v>195.05799999999999</v>
      </c>
      <c r="K49" s="128">
        <v>280.65199999999999</v>
      </c>
      <c r="L49" s="128">
        <v>279.33</v>
      </c>
      <c r="M49" s="128">
        <v>3738.8</v>
      </c>
      <c r="N49" s="128">
        <f t="shared" si="17"/>
        <v>37.35799999999972</v>
      </c>
      <c r="O49" s="112">
        <f t="shared" si="18"/>
        <v>100.99919760350915</v>
      </c>
      <c r="P49" s="128">
        <f t="shared" si="19"/>
        <v>1900</v>
      </c>
      <c r="Q49" s="128">
        <f t="shared" si="20"/>
        <v>1876.1579999999999</v>
      </c>
      <c r="R49" s="112">
        <f t="shared" si="21"/>
        <v>198.74515789473685</v>
      </c>
      <c r="S49" s="112">
        <f t="shared" si="22"/>
        <v>99.372578947368424</v>
      </c>
      <c r="T49" s="128">
        <v>2010.3579999999999</v>
      </c>
      <c r="U49" s="83">
        <f t="shared" si="44"/>
        <v>1765.8</v>
      </c>
      <c r="V49" s="84">
        <f>F49/T49*100</f>
        <v>187.83510200670725</v>
      </c>
      <c r="Z49" s="56">
        <v>246438.04</v>
      </c>
    </row>
    <row r="50" spans="1:29" s="56" customFormat="1" ht="136.5" x14ac:dyDescent="0.25">
      <c r="A50" s="142">
        <f t="shared" si="45"/>
        <v>22</v>
      </c>
      <c r="B50" s="61" t="s">
        <v>53</v>
      </c>
      <c r="C50" s="53" t="s">
        <v>47</v>
      </c>
      <c r="D50" s="128">
        <v>2500</v>
      </c>
      <c r="E50" s="128">
        <v>2500</v>
      </c>
      <c r="F50" s="128">
        <f t="shared" si="16"/>
        <v>2206.8810000000003</v>
      </c>
      <c r="G50" s="128">
        <v>126.11199999999999</v>
      </c>
      <c r="H50" s="128">
        <v>857.42499999999995</v>
      </c>
      <c r="I50" s="128">
        <v>144.45400000000001</v>
      </c>
      <c r="J50" s="128">
        <v>246.708</v>
      </c>
      <c r="K50" s="128">
        <v>433.55799999999999</v>
      </c>
      <c r="L50" s="128">
        <v>398.62400000000002</v>
      </c>
      <c r="M50" s="128">
        <v>2201</v>
      </c>
      <c r="N50" s="128">
        <f t="shared" si="17"/>
        <v>5.8810000000003129</v>
      </c>
      <c r="O50" s="112">
        <f t="shared" si="18"/>
        <v>100.26719672875967</v>
      </c>
      <c r="P50" s="128">
        <f t="shared" si="19"/>
        <v>1250</v>
      </c>
      <c r="Q50" s="128">
        <f t="shared" si="20"/>
        <v>956.88100000000031</v>
      </c>
      <c r="R50" s="112">
        <f t="shared" si="21"/>
        <v>176.55048000000002</v>
      </c>
      <c r="S50" s="112">
        <f t="shared" si="22"/>
        <v>88.275240000000011</v>
      </c>
      <c r="T50" s="128">
        <v>6502.5599999999995</v>
      </c>
      <c r="U50" s="83">
        <f t="shared" si="44"/>
        <v>-4295.6789999999992</v>
      </c>
      <c r="V50" s="84">
        <f>F50/T50*100</f>
        <v>33.938648778327313</v>
      </c>
    </row>
    <row r="51" spans="1:29" s="56" customFormat="1" ht="67.5" customHeight="1" x14ac:dyDescent="0.25">
      <c r="A51" s="142">
        <f t="shared" si="45"/>
        <v>23</v>
      </c>
      <c r="B51" s="61" t="s">
        <v>115</v>
      </c>
      <c r="C51" s="53" t="s">
        <v>114</v>
      </c>
      <c r="D51" s="128">
        <v>0.25</v>
      </c>
      <c r="E51" s="128">
        <v>6.25</v>
      </c>
      <c r="F51" s="128">
        <f t="shared" si="16"/>
        <v>7.3230000000000004</v>
      </c>
      <c r="G51" s="128">
        <v>0</v>
      </c>
      <c r="H51" s="128">
        <v>0</v>
      </c>
      <c r="I51" s="128">
        <v>0</v>
      </c>
      <c r="J51" s="128">
        <v>0</v>
      </c>
      <c r="K51" s="128">
        <v>6.234</v>
      </c>
      <c r="L51" s="128">
        <v>1.089</v>
      </c>
      <c r="M51" s="128">
        <v>6.15</v>
      </c>
      <c r="N51" s="128">
        <f t="shared" si="17"/>
        <v>1.173</v>
      </c>
      <c r="O51" s="112">
        <f t="shared" si="18"/>
        <v>119.07317073170731</v>
      </c>
      <c r="P51" s="128">
        <f t="shared" si="19"/>
        <v>3.125</v>
      </c>
      <c r="Q51" s="128">
        <f t="shared" si="20"/>
        <v>4.1980000000000004</v>
      </c>
      <c r="R51" s="112">
        <f t="shared" si="21"/>
        <v>234.33600000000001</v>
      </c>
      <c r="S51" s="112">
        <f t="shared" si="22"/>
        <v>117.16800000000001</v>
      </c>
      <c r="T51" s="128">
        <v>0</v>
      </c>
      <c r="U51" s="83">
        <f t="shared" si="44"/>
        <v>7.3230000000000004</v>
      </c>
      <c r="V51" s="84"/>
      <c r="X51" s="54">
        <f>F53-F49</f>
        <v>2655210.415</v>
      </c>
      <c r="Y51" s="54">
        <f>T53-T49</f>
        <v>2591086.7760000001</v>
      </c>
      <c r="Z51" s="55">
        <f>X51/Y51</f>
        <v>1.0247477774939637</v>
      </c>
    </row>
    <row r="52" spans="1:29" s="56" customFormat="1" ht="39" x14ac:dyDescent="0.25">
      <c r="A52" s="142">
        <f t="shared" si="45"/>
        <v>24</v>
      </c>
      <c r="B52" s="61" t="s">
        <v>81</v>
      </c>
      <c r="C52" s="53" t="s">
        <v>80</v>
      </c>
      <c r="D52" s="128">
        <v>0.25</v>
      </c>
      <c r="E52" s="128">
        <v>0.25</v>
      </c>
      <c r="F52" s="128">
        <f t="shared" si="16"/>
        <v>0</v>
      </c>
      <c r="G52" s="128">
        <v>0</v>
      </c>
      <c r="H52" s="128">
        <v>0</v>
      </c>
      <c r="I52" s="128">
        <v>0</v>
      </c>
      <c r="J52" s="128">
        <v>0</v>
      </c>
      <c r="K52" s="128">
        <v>0</v>
      </c>
      <c r="L52" s="128">
        <v>0</v>
      </c>
      <c r="M52" s="128">
        <v>0</v>
      </c>
      <c r="N52" s="128">
        <f t="shared" si="17"/>
        <v>0</v>
      </c>
      <c r="O52" s="112"/>
      <c r="P52" s="128">
        <f t="shared" si="19"/>
        <v>0.125</v>
      </c>
      <c r="Q52" s="128">
        <f t="shared" si="20"/>
        <v>-0.125</v>
      </c>
      <c r="R52" s="112">
        <f t="shared" si="21"/>
        <v>0</v>
      </c>
      <c r="S52" s="112">
        <f t="shared" si="22"/>
        <v>0</v>
      </c>
      <c r="T52" s="128">
        <v>0</v>
      </c>
      <c r="U52" s="83">
        <f t="shared" si="44"/>
        <v>0</v>
      </c>
      <c r="V52" s="84"/>
    </row>
    <row r="53" spans="1:29" s="168" customFormat="1" ht="46.5" customHeight="1" x14ac:dyDescent="0.3">
      <c r="A53" s="164" t="s">
        <v>147</v>
      </c>
      <c r="B53" s="164"/>
      <c r="C53" s="164"/>
      <c r="D53" s="165">
        <f>D7+D10+D11+D16+D24+D30+D31+D32+D33+D34+D35+D36+D39+D45+D46+D47+D48+D49+D50+D52+D51+D38+D37</f>
        <v>5219750.3770000003</v>
      </c>
      <c r="E53" s="165">
        <f>E7+E10+E11+E16+E24+E30+E31+E32+E33+E34+E35+E36+E39+E45+E46+E47+E48+E49+E50+E52+E51+E38+E37</f>
        <v>5303356.165000001</v>
      </c>
      <c r="F53" s="165">
        <f t="shared" si="16"/>
        <v>2658986.5729999999</v>
      </c>
      <c r="G53" s="165">
        <f t="shared" ref="G53:K53" si="46">G7+G10+G11+G16+G24+G30+G31+G32+G33+G34+G35+G36+G39+G45+G46+G47+G48+G49+G50+G52+G51+G38+G37+G23+G44</f>
        <v>426745.84000000014</v>
      </c>
      <c r="H53" s="165">
        <f t="shared" si="46"/>
        <v>445489.51399999997</v>
      </c>
      <c r="I53" s="165">
        <f t="shared" si="46"/>
        <v>377705.67400000012</v>
      </c>
      <c r="J53" s="165">
        <f t="shared" si="46"/>
        <v>481176.41999999987</v>
      </c>
      <c r="K53" s="165">
        <f t="shared" si="46"/>
        <v>494993.17400000006</v>
      </c>
      <c r="L53" s="165">
        <f>L7+L10+L11+L16+L24+L30+L31+L32+L33+L34+L35+L36+L39+L45+L46+L47+L48+L49+L50+L52+L51+L38+L37+L23+L44</f>
        <v>432875.951</v>
      </c>
      <c r="M53" s="165">
        <f>M7+M10+M11+M16+M24+M30+M31+M32+M33+M34+M35+M36+M39+M45+M46+M47+M48+M49+M50+M52+M51+M38+M37</f>
        <v>2523283.6889999998</v>
      </c>
      <c r="N53" s="165">
        <f t="shared" si="17"/>
        <v>135702.88400000008</v>
      </c>
      <c r="O53" s="166">
        <f t="shared" si="18"/>
        <v>105.37802723457466</v>
      </c>
      <c r="P53" s="165">
        <f>P7+P10+P11+P16+P24+P30+P31+P32+P33+P34+P35+P36+P39+P45+P46+P47+P48+P49+P50+P52+P51+P38+P37</f>
        <v>2651678.0825000005</v>
      </c>
      <c r="Q53" s="165">
        <f t="shared" si="20"/>
        <v>7308.4904999993742</v>
      </c>
      <c r="R53" s="166">
        <f t="shared" si="21"/>
        <v>100.27561756263825</v>
      </c>
      <c r="S53" s="166">
        <f>F53/E53*100</f>
        <v>50.137808781319123</v>
      </c>
      <c r="T53" s="165">
        <f>T7+T10+T11+T16+T24+T30+T31+T32+T33+T34+T35+T36+T39+T45+T46+T47+T48+T49+T50+T52+T51+T38+T23+T37</f>
        <v>2593097.1340000001</v>
      </c>
      <c r="U53" s="62">
        <f t="shared" si="44"/>
        <v>65889.43899999978</v>
      </c>
      <c r="V53" s="63">
        <f>F53/T53*100</f>
        <v>102.54095529766607</v>
      </c>
      <c r="W53" s="167">
        <v>2144168.0499999998</v>
      </c>
      <c r="X53" s="167">
        <f>W53-T53</f>
        <v>-448929.08400000026</v>
      </c>
      <c r="AA53" s="167" t="e">
        <f>#REF!-#REF!-#REF!</f>
        <v>#REF!</v>
      </c>
      <c r="AC53" s="168">
        <v>294547.38299999997</v>
      </c>
    </row>
    <row r="54" spans="1:29" s="168" customFormat="1" ht="46.5" hidden="1" customHeight="1" x14ac:dyDescent="0.3">
      <c r="A54" s="164" t="s">
        <v>159</v>
      </c>
      <c r="B54" s="164"/>
      <c r="C54" s="164"/>
      <c r="D54" s="165">
        <f>D53</f>
        <v>5219750.3770000003</v>
      </c>
      <c r="E54" s="165">
        <f>E53</f>
        <v>5303356.165000001</v>
      </c>
      <c r="F54" s="165">
        <f t="shared" si="16"/>
        <v>2658986.5729999999</v>
      </c>
      <c r="G54" s="165">
        <f t="shared" ref="G54:M54" si="47">G53</f>
        <v>426745.84000000014</v>
      </c>
      <c r="H54" s="165">
        <f t="shared" si="47"/>
        <v>445489.51399999997</v>
      </c>
      <c r="I54" s="165">
        <f t="shared" si="47"/>
        <v>377705.67400000012</v>
      </c>
      <c r="J54" s="165">
        <f t="shared" si="47"/>
        <v>481176.41999999987</v>
      </c>
      <c r="K54" s="165">
        <f t="shared" ref="K54" si="48">K53</f>
        <v>494993.17400000006</v>
      </c>
      <c r="L54" s="165">
        <f t="shared" si="47"/>
        <v>432875.951</v>
      </c>
      <c r="M54" s="165">
        <f t="shared" si="47"/>
        <v>2523283.6889999998</v>
      </c>
      <c r="N54" s="165">
        <f t="shared" si="17"/>
        <v>135702.88400000008</v>
      </c>
      <c r="O54" s="166">
        <f t="shared" si="18"/>
        <v>105.37802723457466</v>
      </c>
      <c r="P54" s="165">
        <f>P53</f>
        <v>2651678.0825000005</v>
      </c>
      <c r="Q54" s="165">
        <f t="shared" si="20"/>
        <v>7308.4904999993742</v>
      </c>
      <c r="R54" s="166">
        <f t="shared" si="21"/>
        <v>100.27561756263825</v>
      </c>
      <c r="S54" s="166">
        <f t="shared" si="22"/>
        <v>50.137808781319123</v>
      </c>
      <c r="T54" s="165">
        <f>T53-T8</f>
        <v>2153929.7990000001</v>
      </c>
      <c r="U54" s="62">
        <f t="shared" si="44"/>
        <v>505056.77399999974</v>
      </c>
      <c r="V54" s="63">
        <f>F54/T54*100</f>
        <v>123.44815389222441</v>
      </c>
      <c r="W54" s="167"/>
      <c r="X54" s="167"/>
      <c r="AA54" s="167"/>
    </row>
    <row r="55" spans="1:29" s="9" customFormat="1" ht="78" customHeight="1" x14ac:dyDescent="0.25">
      <c r="A55" s="23">
        <v>1</v>
      </c>
      <c r="B55" s="41" t="s">
        <v>181</v>
      </c>
      <c r="C55" s="24" t="s">
        <v>182</v>
      </c>
      <c r="D55" s="85">
        <v>0</v>
      </c>
      <c r="E55" s="85">
        <v>0</v>
      </c>
      <c r="F55" s="128">
        <f t="shared" si="16"/>
        <v>0</v>
      </c>
      <c r="G55" s="128">
        <v>0</v>
      </c>
      <c r="H55" s="128">
        <v>0</v>
      </c>
      <c r="I55" s="128">
        <v>0</v>
      </c>
      <c r="J55" s="128">
        <v>0</v>
      </c>
      <c r="K55" s="128">
        <v>0</v>
      </c>
      <c r="L55" s="128">
        <v>0</v>
      </c>
      <c r="M55" s="128">
        <v>0</v>
      </c>
      <c r="N55" s="128">
        <f t="shared" si="17"/>
        <v>0</v>
      </c>
      <c r="O55" s="112"/>
      <c r="P55" s="128">
        <f>M55</f>
        <v>0</v>
      </c>
      <c r="Q55" s="128">
        <f t="shared" si="20"/>
        <v>0</v>
      </c>
      <c r="R55" s="112"/>
      <c r="S55" s="112"/>
      <c r="T55" s="128">
        <v>5497.8</v>
      </c>
      <c r="U55" s="83">
        <f t="shared" ref="U55:U56" si="49">F55-T55</f>
        <v>-5497.8</v>
      </c>
      <c r="V55" s="84">
        <f>F55/T55*100</f>
        <v>0</v>
      </c>
      <c r="W55" s="34"/>
      <c r="X55" s="34"/>
      <c r="Y55" s="34"/>
      <c r="Z55" s="36"/>
    </row>
    <row r="56" spans="1:29" s="9" customFormat="1" ht="42" customHeight="1" x14ac:dyDescent="0.25">
      <c r="A56" s="23">
        <f>A55+1</f>
        <v>2</v>
      </c>
      <c r="B56" s="41" t="s">
        <v>200</v>
      </c>
      <c r="C56" s="24" t="s">
        <v>199</v>
      </c>
      <c r="D56" s="85">
        <v>0</v>
      </c>
      <c r="E56" s="85">
        <v>841</v>
      </c>
      <c r="F56" s="128">
        <f t="shared" si="16"/>
        <v>237.1</v>
      </c>
      <c r="G56" s="128">
        <v>0</v>
      </c>
      <c r="H56" s="128">
        <v>0</v>
      </c>
      <c r="I56" s="128">
        <v>0</v>
      </c>
      <c r="J56" s="128">
        <v>0</v>
      </c>
      <c r="K56" s="128">
        <v>0</v>
      </c>
      <c r="L56" s="128">
        <v>237.1</v>
      </c>
      <c r="M56" s="128">
        <v>237.1</v>
      </c>
      <c r="N56" s="128">
        <f t="shared" ref="N56" si="50">F56-M56</f>
        <v>0</v>
      </c>
      <c r="O56" s="112">
        <f t="shared" ref="O56" si="51">F56/M56*100</f>
        <v>100</v>
      </c>
      <c r="P56" s="128">
        <f>M56</f>
        <v>237.1</v>
      </c>
      <c r="Q56" s="128">
        <f t="shared" ref="Q56" si="52">F56-P56</f>
        <v>0</v>
      </c>
      <c r="R56" s="112">
        <f t="shared" ref="R56" si="53">F56/P56*100</f>
        <v>100</v>
      </c>
      <c r="S56" s="112">
        <f t="shared" ref="S56" si="54">F56/E56*100</f>
        <v>28.192627824019024</v>
      </c>
      <c r="T56" s="128">
        <v>0</v>
      </c>
      <c r="U56" s="83">
        <f t="shared" si="49"/>
        <v>237.1</v>
      </c>
      <c r="V56" s="84"/>
      <c r="W56" s="34"/>
      <c r="X56" s="34"/>
      <c r="Y56" s="34"/>
      <c r="Z56" s="36"/>
    </row>
    <row r="57" spans="1:29" s="9" customFormat="1" ht="28.5" customHeight="1" x14ac:dyDescent="0.25">
      <c r="A57" s="23">
        <f t="shared" ref="A57:A63" si="55">A56+1</f>
        <v>3</v>
      </c>
      <c r="B57" s="41" t="s">
        <v>133</v>
      </c>
      <c r="C57" s="24" t="s">
        <v>55</v>
      </c>
      <c r="D57" s="85">
        <v>879086.1</v>
      </c>
      <c r="E57" s="85">
        <v>879086.1</v>
      </c>
      <c r="F57" s="128">
        <f t="shared" si="16"/>
        <v>518356.30000000005</v>
      </c>
      <c r="G57" s="128">
        <v>63808.4</v>
      </c>
      <c r="H57" s="128">
        <v>63802.3</v>
      </c>
      <c r="I57" s="128">
        <v>68537.3</v>
      </c>
      <c r="J57" s="128">
        <v>77227.5</v>
      </c>
      <c r="K57" s="128">
        <v>77274.399999999994</v>
      </c>
      <c r="L57" s="128">
        <v>167706.4</v>
      </c>
      <c r="M57" s="128">
        <v>518356.3</v>
      </c>
      <c r="N57" s="128">
        <f t="shared" si="17"/>
        <v>0</v>
      </c>
      <c r="O57" s="112">
        <f t="shared" si="18"/>
        <v>100.00000000000003</v>
      </c>
      <c r="P57" s="128">
        <f>M57</f>
        <v>518356.3</v>
      </c>
      <c r="Q57" s="128">
        <f t="shared" si="20"/>
        <v>0</v>
      </c>
      <c r="R57" s="112">
        <f t="shared" si="21"/>
        <v>100.00000000000003</v>
      </c>
      <c r="S57" s="112">
        <f t="shared" si="22"/>
        <v>58.965361868422228</v>
      </c>
      <c r="T57" s="128">
        <v>455980.50000000006</v>
      </c>
      <c r="U57" s="83">
        <f t="shared" si="44"/>
        <v>62375.799999999988</v>
      </c>
      <c r="V57" s="84">
        <f>F57/T57*100</f>
        <v>113.67948848689802</v>
      </c>
      <c r="W57" s="34"/>
      <c r="X57" s="34"/>
      <c r="Y57" s="34"/>
      <c r="Z57" s="36"/>
    </row>
    <row r="58" spans="1:29" s="9" customFormat="1" ht="33.75" customHeight="1" x14ac:dyDescent="0.25">
      <c r="A58" s="23">
        <f t="shared" si="55"/>
        <v>4</v>
      </c>
      <c r="B58" s="41" t="s">
        <v>174</v>
      </c>
      <c r="C58" s="24" t="s">
        <v>173</v>
      </c>
      <c r="D58" s="85"/>
      <c r="E58" s="85">
        <v>2856.1129999999998</v>
      </c>
      <c r="F58" s="128">
        <f t="shared" si="16"/>
        <v>2856.1130000000003</v>
      </c>
      <c r="G58" s="128">
        <v>0</v>
      </c>
      <c r="H58" s="128">
        <v>561.92399999999998</v>
      </c>
      <c r="I58" s="128">
        <v>0</v>
      </c>
      <c r="J58" s="128">
        <v>1564.171</v>
      </c>
      <c r="K58" s="128">
        <v>0</v>
      </c>
      <c r="L58" s="128">
        <v>730.01800000000003</v>
      </c>
      <c r="M58" s="128">
        <v>2856.1129999999998</v>
      </c>
      <c r="N58" s="128">
        <f t="shared" si="17"/>
        <v>0</v>
      </c>
      <c r="O58" s="112">
        <f t="shared" si="18"/>
        <v>100.00000000000003</v>
      </c>
      <c r="P58" s="128">
        <f>M58</f>
        <v>2856.1129999999998</v>
      </c>
      <c r="Q58" s="128">
        <f t="shared" ref="Q58" si="56">F58-P58</f>
        <v>0</v>
      </c>
      <c r="R58" s="112">
        <f t="shared" ref="R58" si="57">F58/P58*100</f>
        <v>100.00000000000003</v>
      </c>
      <c r="S58" s="112">
        <f>F58/E58*100</f>
        <v>100.00000000000003</v>
      </c>
      <c r="T58" s="128">
        <v>3201.0839999999998</v>
      </c>
      <c r="U58" s="83">
        <f t="shared" si="44"/>
        <v>-344.97099999999955</v>
      </c>
      <c r="V58" s="84">
        <f>F58/T58*100</f>
        <v>89.223306854802956</v>
      </c>
      <c r="W58" s="34"/>
      <c r="X58" s="34"/>
      <c r="Y58" s="34"/>
      <c r="Z58" s="36"/>
    </row>
    <row r="59" spans="1:29" s="9" customFormat="1" ht="39" x14ac:dyDescent="0.25">
      <c r="A59" s="23">
        <f t="shared" si="55"/>
        <v>5</v>
      </c>
      <c r="B59" s="106" t="s">
        <v>134</v>
      </c>
      <c r="C59" s="95" t="s">
        <v>111</v>
      </c>
      <c r="D59" s="85">
        <v>23435.05</v>
      </c>
      <c r="E59" s="85">
        <v>23435.05</v>
      </c>
      <c r="F59" s="128">
        <f t="shared" si="16"/>
        <v>13818.452000000001</v>
      </c>
      <c r="G59" s="128">
        <v>1701.0619999999999</v>
      </c>
      <c r="H59" s="128">
        <v>1700.758</v>
      </c>
      <c r="I59" s="128">
        <v>1827.075</v>
      </c>
      <c r="J59" s="128">
        <v>2058.7849999999999</v>
      </c>
      <c r="K59" s="128">
        <v>2059.9450000000002</v>
      </c>
      <c r="L59" s="128">
        <v>4470.8270000000002</v>
      </c>
      <c r="M59" s="128">
        <v>13818.451999999999</v>
      </c>
      <c r="N59" s="128">
        <f t="shared" si="17"/>
        <v>0</v>
      </c>
      <c r="O59" s="112">
        <f t="shared" si="18"/>
        <v>100.00000000000003</v>
      </c>
      <c r="P59" s="128">
        <f t="shared" ref="P59:P66" si="58">M59</f>
        <v>13818.451999999999</v>
      </c>
      <c r="Q59" s="128">
        <f t="shared" si="20"/>
        <v>0</v>
      </c>
      <c r="R59" s="112">
        <f t="shared" si="21"/>
        <v>100.00000000000003</v>
      </c>
      <c r="S59" s="112">
        <f t="shared" si="22"/>
        <v>58.964892330078243</v>
      </c>
      <c r="T59" s="128">
        <v>10703.922</v>
      </c>
      <c r="U59" s="83">
        <f t="shared" si="44"/>
        <v>3114.5300000000007</v>
      </c>
      <c r="V59" s="84">
        <f>F59/T59*100</f>
        <v>129.09709170152772</v>
      </c>
    </row>
    <row r="60" spans="1:29" s="9" customFormat="1" ht="58.5" x14ac:dyDescent="0.25">
      <c r="A60" s="23">
        <f>A59+1</f>
        <v>6</v>
      </c>
      <c r="B60" s="106" t="s">
        <v>135</v>
      </c>
      <c r="C60" s="95">
        <v>41051200</v>
      </c>
      <c r="D60" s="85">
        <v>0</v>
      </c>
      <c r="E60" s="85">
        <v>0</v>
      </c>
      <c r="F60" s="128">
        <f t="shared" si="16"/>
        <v>0</v>
      </c>
      <c r="G60" s="128">
        <v>0</v>
      </c>
      <c r="H60" s="128">
        <v>0</v>
      </c>
      <c r="I60" s="128">
        <v>0</v>
      </c>
      <c r="J60" s="128">
        <v>0</v>
      </c>
      <c r="K60" s="128">
        <v>0</v>
      </c>
      <c r="L60" s="128">
        <v>0</v>
      </c>
      <c r="M60" s="128">
        <v>0</v>
      </c>
      <c r="N60" s="128">
        <f t="shared" ref="N60:N62" si="59">F60-M60</f>
        <v>0</v>
      </c>
      <c r="O60" s="112"/>
      <c r="P60" s="128">
        <f t="shared" ref="P60:P62" si="60">M60</f>
        <v>0</v>
      </c>
      <c r="Q60" s="128">
        <f t="shared" ref="Q60:Q62" si="61">F60-P60</f>
        <v>0</v>
      </c>
      <c r="R60" s="112"/>
      <c r="S60" s="112"/>
      <c r="T60" s="128">
        <v>1306.9080000000001</v>
      </c>
      <c r="U60" s="83">
        <f t="shared" si="44"/>
        <v>-1306.9080000000001</v>
      </c>
      <c r="V60" s="84">
        <f>F60/T60*100</f>
        <v>0</v>
      </c>
    </row>
    <row r="61" spans="1:29" s="9" customFormat="1" ht="58.5" x14ac:dyDescent="0.25">
      <c r="A61" s="23">
        <f t="shared" si="55"/>
        <v>7</v>
      </c>
      <c r="B61" s="106" t="s">
        <v>183</v>
      </c>
      <c r="C61" s="95" t="s">
        <v>184</v>
      </c>
      <c r="D61" s="85">
        <v>0</v>
      </c>
      <c r="E61" s="85">
        <v>0</v>
      </c>
      <c r="F61" s="128">
        <f t="shared" si="16"/>
        <v>0</v>
      </c>
      <c r="G61" s="128">
        <v>0</v>
      </c>
      <c r="H61" s="128">
        <v>0</v>
      </c>
      <c r="I61" s="128">
        <v>0</v>
      </c>
      <c r="J61" s="128">
        <v>0</v>
      </c>
      <c r="K61" s="128">
        <v>0</v>
      </c>
      <c r="L61" s="128">
        <v>0</v>
      </c>
      <c r="M61" s="128">
        <v>0</v>
      </c>
      <c r="N61" s="128">
        <f t="shared" si="59"/>
        <v>0</v>
      </c>
      <c r="O61" s="112"/>
      <c r="P61" s="128">
        <f t="shared" si="60"/>
        <v>0</v>
      </c>
      <c r="Q61" s="128">
        <f t="shared" si="61"/>
        <v>0</v>
      </c>
      <c r="R61" s="112"/>
      <c r="S61" s="112"/>
      <c r="T61" s="128">
        <v>2073.1129999999998</v>
      </c>
      <c r="U61" s="83">
        <f t="shared" si="44"/>
        <v>-2073.1129999999998</v>
      </c>
      <c r="V61" s="84"/>
    </row>
    <row r="62" spans="1:29" s="9" customFormat="1" ht="58.5" x14ac:dyDescent="0.25">
      <c r="A62" s="23">
        <f t="shared" si="55"/>
        <v>8</v>
      </c>
      <c r="B62" s="106" t="s">
        <v>193</v>
      </c>
      <c r="C62" s="95">
        <v>41057700</v>
      </c>
      <c r="D62" s="85">
        <v>0</v>
      </c>
      <c r="E62" s="85">
        <v>51.972000000000001</v>
      </c>
      <c r="F62" s="128">
        <f t="shared" si="16"/>
        <v>41.578000000000003</v>
      </c>
      <c r="G62" s="128">
        <v>0</v>
      </c>
      <c r="H62" s="128">
        <v>0</v>
      </c>
      <c r="I62" s="128">
        <v>0</v>
      </c>
      <c r="J62" s="128">
        <v>20.788</v>
      </c>
      <c r="K62" s="128">
        <v>10.395</v>
      </c>
      <c r="L62" s="128">
        <v>10.395</v>
      </c>
      <c r="M62" s="128">
        <v>41.578000000000003</v>
      </c>
      <c r="N62" s="128">
        <f t="shared" si="59"/>
        <v>0</v>
      </c>
      <c r="O62" s="112">
        <f t="shared" ref="O62" si="62">F62/M62*100</f>
        <v>100</v>
      </c>
      <c r="P62" s="128">
        <f t="shared" si="60"/>
        <v>41.578000000000003</v>
      </c>
      <c r="Q62" s="128">
        <f t="shared" si="61"/>
        <v>0</v>
      </c>
      <c r="R62" s="112">
        <f t="shared" ref="R62" si="63">F62/P62*100</f>
        <v>100</v>
      </c>
      <c r="S62" s="112">
        <f t="shared" ref="S62" si="64">F62/E62*100</f>
        <v>80.000769645193571</v>
      </c>
      <c r="T62" s="128">
        <v>0</v>
      </c>
      <c r="U62" s="83">
        <f t="shared" si="44"/>
        <v>41.578000000000003</v>
      </c>
      <c r="V62" s="84"/>
    </row>
    <row r="63" spans="1:29" s="9" customFormat="1" ht="23.25" x14ac:dyDescent="0.25">
      <c r="A63" s="23">
        <f t="shared" si="55"/>
        <v>9</v>
      </c>
      <c r="B63" s="107" t="s">
        <v>136</v>
      </c>
      <c r="C63" s="95" t="s">
        <v>103</v>
      </c>
      <c r="D63" s="85">
        <f>SUM(D64:D70)</f>
        <v>1982.317</v>
      </c>
      <c r="E63" s="85">
        <f>SUM(E64:E70)</f>
        <v>2309.16</v>
      </c>
      <c r="F63" s="128">
        <f t="shared" si="16"/>
        <v>1185.6469999999999</v>
      </c>
      <c r="G63" s="128">
        <f t="shared" ref="G63:M63" si="65">SUM(G64:G70)</f>
        <v>0</v>
      </c>
      <c r="H63" s="128">
        <f t="shared" si="65"/>
        <v>129.971</v>
      </c>
      <c r="I63" s="128">
        <f t="shared" si="65"/>
        <v>331.63199999999995</v>
      </c>
      <c r="J63" s="128">
        <f t="shared" si="65"/>
        <v>289.63200000000001</v>
      </c>
      <c r="K63" s="128">
        <f t="shared" ref="K63" si="66">SUM(K64:K70)</f>
        <v>207.55799999999999</v>
      </c>
      <c r="L63" s="128">
        <f>SUM(L64:L70)</f>
        <v>226.85399999999998</v>
      </c>
      <c r="M63" s="128">
        <f t="shared" si="65"/>
        <v>1317.0650000000001</v>
      </c>
      <c r="N63" s="128">
        <f t="shared" si="17"/>
        <v>-131.41800000000012</v>
      </c>
      <c r="O63" s="112">
        <f t="shared" si="18"/>
        <v>90.021904765520304</v>
      </c>
      <c r="P63" s="128">
        <f t="shared" si="58"/>
        <v>1317.0650000000001</v>
      </c>
      <c r="Q63" s="128">
        <f t="shared" si="20"/>
        <v>-131.41800000000012</v>
      </c>
      <c r="R63" s="112">
        <f t="shared" si="21"/>
        <v>90.021904765520304</v>
      </c>
      <c r="S63" s="112">
        <f t="shared" si="22"/>
        <v>51.3453810043479</v>
      </c>
      <c r="T63" s="128">
        <f>SUM(T64:T70)</f>
        <v>2645.3069999999998</v>
      </c>
      <c r="U63" s="83">
        <f t="shared" si="44"/>
        <v>-1459.6599999999999</v>
      </c>
      <c r="V63" s="84">
        <f t="shared" ref="V63:V66" si="67">F63/T63*100</f>
        <v>44.82077127531889</v>
      </c>
      <c r="W63" s="128"/>
      <c r="X63" s="128"/>
    </row>
    <row r="64" spans="1:29" s="126" customFormat="1" ht="39" x14ac:dyDescent="0.25">
      <c r="A64" s="125" t="s">
        <v>201</v>
      </c>
      <c r="B64" s="133" t="s">
        <v>137</v>
      </c>
      <c r="C64" s="127"/>
      <c r="D64" s="132">
        <v>105</v>
      </c>
      <c r="E64" s="132">
        <v>105</v>
      </c>
      <c r="F64" s="129">
        <f t="shared" si="16"/>
        <v>6.6929999999999996</v>
      </c>
      <c r="G64" s="129">
        <v>0</v>
      </c>
      <c r="H64" s="129">
        <v>3.7240000000000002</v>
      </c>
      <c r="I64" s="129">
        <v>0</v>
      </c>
      <c r="J64" s="129">
        <v>0</v>
      </c>
      <c r="K64" s="129">
        <v>0</v>
      </c>
      <c r="L64" s="129">
        <v>2.9689999999999999</v>
      </c>
      <c r="M64" s="129">
        <v>52.868000000000002</v>
      </c>
      <c r="N64" s="129">
        <f t="shared" si="17"/>
        <v>-46.175000000000004</v>
      </c>
      <c r="O64" s="113">
        <f t="shared" si="18"/>
        <v>12.65983203450102</v>
      </c>
      <c r="P64" s="129">
        <f t="shared" si="58"/>
        <v>52.868000000000002</v>
      </c>
      <c r="Q64" s="129">
        <f t="shared" si="20"/>
        <v>-46.175000000000004</v>
      </c>
      <c r="R64" s="113">
        <f t="shared" si="21"/>
        <v>12.65983203450102</v>
      </c>
      <c r="S64" s="113">
        <f t="shared" si="22"/>
        <v>6.3742857142857146</v>
      </c>
      <c r="T64" s="129">
        <v>19.766999999999999</v>
      </c>
      <c r="U64" s="130">
        <f t="shared" si="44"/>
        <v>-13.074</v>
      </c>
      <c r="V64" s="131">
        <f t="shared" si="67"/>
        <v>33.859462740931853</v>
      </c>
    </row>
    <row r="65" spans="1:27" s="126" customFormat="1" ht="39" x14ac:dyDescent="0.25">
      <c r="A65" s="125" t="s">
        <v>202</v>
      </c>
      <c r="B65" s="133" t="s">
        <v>138</v>
      </c>
      <c r="C65" s="127"/>
      <c r="D65" s="132">
        <v>1246.7</v>
      </c>
      <c r="E65" s="132">
        <v>1246.7</v>
      </c>
      <c r="F65" s="129">
        <f t="shared" si="16"/>
        <v>520.56600000000003</v>
      </c>
      <c r="G65" s="129">
        <v>0</v>
      </c>
      <c r="H65" s="129">
        <v>58.584000000000003</v>
      </c>
      <c r="I65" s="129">
        <v>65.713999999999999</v>
      </c>
      <c r="J65" s="129">
        <v>117.73099999999999</v>
      </c>
      <c r="K65" s="129">
        <v>139.89500000000001</v>
      </c>
      <c r="L65" s="129">
        <v>138.642</v>
      </c>
      <c r="M65" s="129">
        <v>520.56600000000003</v>
      </c>
      <c r="N65" s="129">
        <f t="shared" si="17"/>
        <v>0</v>
      </c>
      <c r="O65" s="113">
        <f t="shared" si="18"/>
        <v>100</v>
      </c>
      <c r="P65" s="129">
        <f t="shared" si="58"/>
        <v>520.56600000000003</v>
      </c>
      <c r="Q65" s="129">
        <f t="shared" si="20"/>
        <v>0</v>
      </c>
      <c r="R65" s="113">
        <f t="shared" si="21"/>
        <v>100</v>
      </c>
      <c r="S65" s="113">
        <f t="shared" si="22"/>
        <v>41.755514558434271</v>
      </c>
      <c r="T65" s="129">
        <v>649.59999999999991</v>
      </c>
      <c r="U65" s="130">
        <f t="shared" si="44"/>
        <v>-129.03399999999988</v>
      </c>
      <c r="V65" s="131">
        <f t="shared" si="67"/>
        <v>80.136391625615772</v>
      </c>
    </row>
    <row r="66" spans="1:27" s="126" customFormat="1" ht="78" x14ac:dyDescent="0.25">
      <c r="A66" s="125" t="s">
        <v>203</v>
      </c>
      <c r="B66" s="133" t="s">
        <v>139</v>
      </c>
      <c r="C66" s="127"/>
      <c r="D66" s="132">
        <v>292.3</v>
      </c>
      <c r="E66" s="132">
        <v>292.3</v>
      </c>
      <c r="F66" s="129">
        <f t="shared" si="16"/>
        <v>146.136</v>
      </c>
      <c r="G66" s="129">
        <v>0</v>
      </c>
      <c r="H66" s="129">
        <v>0</v>
      </c>
      <c r="I66" s="129">
        <v>146.136</v>
      </c>
      <c r="J66" s="129">
        <v>0</v>
      </c>
      <c r="K66" s="129">
        <v>0</v>
      </c>
      <c r="L66" s="129">
        <v>0</v>
      </c>
      <c r="M66" s="129">
        <v>146.136</v>
      </c>
      <c r="N66" s="129">
        <f t="shared" si="17"/>
        <v>0</v>
      </c>
      <c r="O66" s="113">
        <f t="shared" si="18"/>
        <v>100</v>
      </c>
      <c r="P66" s="129">
        <f t="shared" si="58"/>
        <v>146.136</v>
      </c>
      <c r="Q66" s="129">
        <f t="shared" si="20"/>
        <v>0</v>
      </c>
      <c r="R66" s="113">
        <f t="shared" si="21"/>
        <v>100</v>
      </c>
      <c r="S66" s="113">
        <f t="shared" si="22"/>
        <v>49.995210400273685</v>
      </c>
      <c r="T66" s="129">
        <v>146.136</v>
      </c>
      <c r="U66" s="130">
        <f t="shared" si="44"/>
        <v>0</v>
      </c>
      <c r="V66" s="131">
        <f t="shared" si="67"/>
        <v>100</v>
      </c>
    </row>
    <row r="67" spans="1:27" s="126" customFormat="1" ht="58.5" x14ac:dyDescent="0.25">
      <c r="A67" s="125" t="s">
        <v>211</v>
      </c>
      <c r="B67" s="133" t="s">
        <v>192</v>
      </c>
      <c r="C67" s="127"/>
      <c r="D67" s="132">
        <v>0</v>
      </c>
      <c r="E67" s="132">
        <v>0</v>
      </c>
      <c r="F67" s="129">
        <f t="shared" si="16"/>
        <v>0</v>
      </c>
      <c r="G67" s="129">
        <v>0</v>
      </c>
      <c r="H67" s="129">
        <v>0</v>
      </c>
      <c r="I67" s="129">
        <v>0</v>
      </c>
      <c r="J67" s="129">
        <v>0</v>
      </c>
      <c r="K67" s="129">
        <v>0</v>
      </c>
      <c r="L67" s="129">
        <v>0</v>
      </c>
      <c r="M67" s="129">
        <v>0</v>
      </c>
      <c r="N67" s="129">
        <f t="shared" ref="N67" si="68">F67-M67</f>
        <v>0</v>
      </c>
      <c r="O67" s="113"/>
      <c r="P67" s="129">
        <f t="shared" ref="P67" si="69">M67</f>
        <v>0</v>
      </c>
      <c r="Q67" s="129">
        <f t="shared" ref="Q67" si="70">F67-P67</f>
        <v>0</v>
      </c>
      <c r="R67" s="113"/>
      <c r="S67" s="113"/>
      <c r="T67" s="129">
        <v>1141.7090000000001</v>
      </c>
      <c r="U67" s="130">
        <f t="shared" si="44"/>
        <v>-1141.7090000000001</v>
      </c>
      <c r="V67" s="131"/>
    </row>
    <row r="68" spans="1:27" s="126" customFormat="1" ht="58.5" x14ac:dyDescent="0.25">
      <c r="A68" s="125" t="s">
        <v>212</v>
      </c>
      <c r="B68" s="133" t="s">
        <v>150</v>
      </c>
      <c r="C68" s="127"/>
      <c r="D68" s="132">
        <v>338.31700000000001</v>
      </c>
      <c r="E68" s="132">
        <v>338.31700000000001</v>
      </c>
      <c r="F68" s="129">
        <f>SUM(G68:L68)</f>
        <v>270.65199999999999</v>
      </c>
      <c r="G68" s="129">
        <v>0</v>
      </c>
      <c r="H68" s="129">
        <v>67.662999999999997</v>
      </c>
      <c r="I68" s="129">
        <v>67.662999999999997</v>
      </c>
      <c r="J68" s="129">
        <v>67.662999999999997</v>
      </c>
      <c r="K68" s="129">
        <v>67.662999999999997</v>
      </c>
      <c r="L68" s="129">
        <v>0</v>
      </c>
      <c r="M68" s="129">
        <v>270.65199999999999</v>
      </c>
      <c r="N68" s="129">
        <f>F68-M68</f>
        <v>0</v>
      </c>
      <c r="O68" s="113">
        <f>F68/M68*100</f>
        <v>100</v>
      </c>
      <c r="P68" s="129">
        <f>M68</f>
        <v>270.65199999999999</v>
      </c>
      <c r="Q68" s="129">
        <f>F68-P68</f>
        <v>0</v>
      </c>
      <c r="R68" s="113">
        <f>F68/P68*100</f>
        <v>100</v>
      </c>
      <c r="S68" s="113">
        <f>F68/E68*100</f>
        <v>79.999527070764984</v>
      </c>
      <c r="T68" s="129">
        <v>0</v>
      </c>
      <c r="U68" s="130">
        <f>F68-T68</f>
        <v>270.65199999999999</v>
      </c>
      <c r="V68" s="131"/>
    </row>
    <row r="69" spans="1:27" s="126" customFormat="1" ht="58.5" x14ac:dyDescent="0.25">
      <c r="A69" s="125" t="s">
        <v>213</v>
      </c>
      <c r="B69" s="133" t="s">
        <v>186</v>
      </c>
      <c r="C69" s="127"/>
      <c r="D69" s="132">
        <v>0</v>
      </c>
      <c r="E69" s="132">
        <v>156.357</v>
      </c>
      <c r="F69" s="129">
        <f t="shared" ref="F69:F70" si="71">SUM(G69:L69)</f>
        <v>156.357</v>
      </c>
      <c r="G69" s="129">
        <v>0</v>
      </c>
      <c r="H69" s="129">
        <v>0</v>
      </c>
      <c r="I69" s="129">
        <v>52.119</v>
      </c>
      <c r="J69" s="129">
        <f>52.119+52.119</f>
        <v>104.238</v>
      </c>
      <c r="K69" s="129">
        <v>0</v>
      </c>
      <c r="L69" s="129">
        <v>0</v>
      </c>
      <c r="M69" s="129">
        <v>156.357</v>
      </c>
      <c r="N69" s="129">
        <f t="shared" ref="N69:N70" si="72">F69-M69</f>
        <v>0</v>
      </c>
      <c r="O69" s="113">
        <f t="shared" ref="O69:O70" si="73">F69/M69*100</f>
        <v>100</v>
      </c>
      <c r="P69" s="129">
        <f>M69</f>
        <v>156.357</v>
      </c>
      <c r="Q69" s="129">
        <f t="shared" ref="Q69:Q70" si="74">F69-P69</f>
        <v>0</v>
      </c>
      <c r="R69" s="113">
        <f t="shared" ref="R69:R70" si="75">F69/P69*100</f>
        <v>100</v>
      </c>
      <c r="S69" s="113">
        <f t="shared" ref="S69:S70" si="76">F69/E69*100</f>
        <v>100</v>
      </c>
      <c r="T69" s="129">
        <v>688.09500000000003</v>
      </c>
      <c r="U69" s="130">
        <f t="shared" ref="U69:U70" si="77">F69-T69</f>
        <v>-531.73800000000006</v>
      </c>
      <c r="V69" s="131">
        <f t="shared" ref="V69" si="78">F69/T69*100</f>
        <v>22.723170492446538</v>
      </c>
    </row>
    <row r="70" spans="1:27" s="126" customFormat="1" ht="97.5" x14ac:dyDescent="0.25">
      <c r="A70" s="125" t="s">
        <v>214</v>
      </c>
      <c r="B70" s="133" t="s">
        <v>187</v>
      </c>
      <c r="C70" s="127"/>
      <c r="D70" s="132">
        <v>0</v>
      </c>
      <c r="E70" s="132">
        <v>170.48599999999999</v>
      </c>
      <c r="F70" s="129">
        <f t="shared" si="71"/>
        <v>85.242999999999995</v>
      </c>
      <c r="G70" s="129">
        <v>0</v>
      </c>
      <c r="H70" s="129">
        <v>0</v>
      </c>
      <c r="I70" s="129">
        <v>0</v>
      </c>
      <c r="J70" s="129">
        <v>0</v>
      </c>
      <c r="K70" s="129">
        <v>0</v>
      </c>
      <c r="L70" s="129">
        <v>85.242999999999995</v>
      </c>
      <c r="M70" s="129">
        <v>170.48599999999999</v>
      </c>
      <c r="N70" s="129">
        <f t="shared" si="72"/>
        <v>-85.242999999999995</v>
      </c>
      <c r="O70" s="113">
        <f t="shared" si="73"/>
        <v>50</v>
      </c>
      <c r="P70" s="129">
        <f t="shared" ref="P70" si="79">M70</f>
        <v>170.48599999999999</v>
      </c>
      <c r="Q70" s="129">
        <f t="shared" si="74"/>
        <v>-85.242999999999995</v>
      </c>
      <c r="R70" s="113">
        <f t="shared" si="75"/>
        <v>50</v>
      </c>
      <c r="S70" s="113">
        <f t="shared" si="76"/>
        <v>50</v>
      </c>
      <c r="T70" s="129">
        <v>0</v>
      </c>
      <c r="U70" s="130">
        <f t="shared" si="77"/>
        <v>85.242999999999995</v>
      </c>
      <c r="V70" s="131"/>
    </row>
    <row r="71" spans="1:27" s="39" customFormat="1" ht="27.75" customHeight="1" x14ac:dyDescent="0.3">
      <c r="A71" s="169"/>
      <c r="B71" s="40" t="s">
        <v>29</v>
      </c>
      <c r="C71" s="170"/>
      <c r="D71" s="38">
        <f>D75+D74+D73</f>
        <v>904503.46699999995</v>
      </c>
      <c r="E71" s="38">
        <f>E75+E74+E73</f>
        <v>908579.39500000002</v>
      </c>
      <c r="F71" s="38">
        <f t="shared" si="16"/>
        <v>536495.19000000006</v>
      </c>
      <c r="G71" s="38">
        <f t="shared" ref="G71:L71" si="80">G75+G74+G73</f>
        <v>65509.462</v>
      </c>
      <c r="H71" s="38">
        <f t="shared" ref="H71:K71" si="81">H75+H74+H73</f>
        <v>66194.953000000009</v>
      </c>
      <c r="I71" s="38">
        <f t="shared" si="81"/>
        <v>70696.006999999998</v>
      </c>
      <c r="J71" s="38">
        <f t="shared" si="81"/>
        <v>81160.876000000004</v>
      </c>
      <c r="K71" s="38">
        <f t="shared" si="81"/>
        <v>79552.297999999995</v>
      </c>
      <c r="L71" s="38">
        <f t="shared" si="80"/>
        <v>173381.59400000001</v>
      </c>
      <c r="M71" s="38">
        <f>M75+M74+M73</f>
        <v>536626.60800000001</v>
      </c>
      <c r="N71" s="38">
        <f t="shared" si="17"/>
        <v>-131.41799999994691</v>
      </c>
      <c r="O71" s="110">
        <f t="shared" si="18"/>
        <v>99.9755103459201</v>
      </c>
      <c r="P71" s="38">
        <f>P75+P74+P73</f>
        <v>536389.50800000003</v>
      </c>
      <c r="Q71" s="38">
        <f t="shared" si="20"/>
        <v>105.6820000000298</v>
      </c>
      <c r="R71" s="110">
        <f t="shared" si="21"/>
        <v>100.01970247337502</v>
      </c>
      <c r="S71" s="110">
        <f t="shared" si="22"/>
        <v>59.047695000831489</v>
      </c>
      <c r="T71" s="38">
        <f>T75+T74+T73</f>
        <v>481408.63400000002</v>
      </c>
      <c r="U71" s="62">
        <f t="shared" si="44"/>
        <v>55086.556000000041</v>
      </c>
      <c r="V71" s="63">
        <f>F71/T71*100</f>
        <v>111.44278521602087</v>
      </c>
    </row>
    <row r="72" spans="1:27" s="12" customFormat="1" ht="23.25" x14ac:dyDescent="0.25">
      <c r="A72" s="11"/>
      <c r="B72" s="104" t="s">
        <v>91</v>
      </c>
      <c r="C72" s="10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114"/>
      <c r="P72" s="86"/>
      <c r="Q72" s="86"/>
      <c r="R72" s="114"/>
      <c r="S72" s="114"/>
      <c r="T72" s="86"/>
      <c r="U72" s="62"/>
      <c r="V72" s="63"/>
    </row>
    <row r="73" spans="1:27" s="12" customFormat="1" ht="33.75" customHeight="1" x14ac:dyDescent="0.25">
      <c r="A73" s="11"/>
      <c r="B73" s="97" t="s">
        <v>132</v>
      </c>
      <c r="C73" s="25"/>
      <c r="D73" s="38"/>
      <c r="E73" s="38"/>
      <c r="F73" s="38">
        <f t="shared" si="16"/>
        <v>0</v>
      </c>
      <c r="G73" s="38"/>
      <c r="H73" s="38"/>
      <c r="I73" s="38"/>
      <c r="J73" s="38"/>
      <c r="K73" s="38"/>
      <c r="L73" s="38"/>
      <c r="M73" s="38"/>
      <c r="N73" s="38"/>
      <c r="O73" s="110"/>
      <c r="P73" s="38"/>
      <c r="Q73" s="38">
        <f t="shared" si="20"/>
        <v>0</v>
      </c>
      <c r="R73" s="110"/>
      <c r="S73" s="110"/>
      <c r="T73" s="38">
        <f>T55</f>
        <v>5497.8</v>
      </c>
      <c r="U73" s="62">
        <f>F73-T73</f>
        <v>-5497.8</v>
      </c>
      <c r="V73" s="63">
        <f t="shared" ref="V73:V74" si="82">F73/T73*100</f>
        <v>0</v>
      </c>
    </row>
    <row r="74" spans="1:27" s="12" customFormat="1" ht="37.5" customHeight="1" x14ac:dyDescent="0.25">
      <c r="A74" s="11"/>
      <c r="B74" s="97" t="s">
        <v>104</v>
      </c>
      <c r="C74" s="25"/>
      <c r="D74" s="38">
        <f>D58</f>
        <v>0</v>
      </c>
      <c r="E74" s="38">
        <f>E58</f>
        <v>2856.1129999999998</v>
      </c>
      <c r="F74" s="38">
        <f t="shared" si="16"/>
        <v>2856.1130000000003</v>
      </c>
      <c r="G74" s="38">
        <f t="shared" ref="G74:M74" si="83">G58</f>
        <v>0</v>
      </c>
      <c r="H74" s="38">
        <f t="shared" si="83"/>
        <v>561.92399999999998</v>
      </c>
      <c r="I74" s="38">
        <f t="shared" si="83"/>
        <v>0</v>
      </c>
      <c r="J74" s="38">
        <f t="shared" si="83"/>
        <v>1564.171</v>
      </c>
      <c r="K74" s="38">
        <f t="shared" si="83"/>
        <v>0</v>
      </c>
      <c r="L74" s="38">
        <f t="shared" si="83"/>
        <v>730.01800000000003</v>
      </c>
      <c r="M74" s="38">
        <f t="shared" si="83"/>
        <v>2856.1129999999998</v>
      </c>
      <c r="N74" s="38">
        <f t="shared" ref="N74" si="84">F74-M74</f>
        <v>0</v>
      </c>
      <c r="O74" s="110">
        <f t="shared" ref="O74" si="85">F74/M74*100</f>
        <v>100.00000000000003</v>
      </c>
      <c r="P74" s="38">
        <f>P58</f>
        <v>2856.1129999999998</v>
      </c>
      <c r="Q74" s="38">
        <f t="shared" si="20"/>
        <v>0</v>
      </c>
      <c r="R74" s="110">
        <f t="shared" ref="R74" si="86">F74/P74*100</f>
        <v>100.00000000000003</v>
      </c>
      <c r="S74" s="110">
        <f t="shared" ref="S74" si="87">F74/E74*100</f>
        <v>100.00000000000003</v>
      </c>
      <c r="T74" s="38">
        <f>T58</f>
        <v>3201.0839999999998</v>
      </c>
      <c r="U74" s="62">
        <f>F74-T74</f>
        <v>-344.97099999999955</v>
      </c>
      <c r="V74" s="63">
        <f t="shared" si="82"/>
        <v>89.223306854802956</v>
      </c>
    </row>
    <row r="75" spans="1:27" s="12" customFormat="1" ht="27" customHeight="1" x14ac:dyDescent="0.25">
      <c r="A75" s="11"/>
      <c r="B75" s="97" t="s">
        <v>69</v>
      </c>
      <c r="C75" s="25"/>
      <c r="D75" s="38">
        <f>D76+D77</f>
        <v>904503.46699999995</v>
      </c>
      <c r="E75" s="38">
        <f>E76+E77</f>
        <v>905723.28200000001</v>
      </c>
      <c r="F75" s="38">
        <f t="shared" si="16"/>
        <v>533639.07700000005</v>
      </c>
      <c r="G75" s="38">
        <f>G76+G77</f>
        <v>65509.462</v>
      </c>
      <c r="H75" s="38">
        <f t="shared" ref="H75:K75" si="88">H76+H77</f>
        <v>65633.02900000001</v>
      </c>
      <c r="I75" s="38">
        <f t="shared" si="88"/>
        <v>70696.006999999998</v>
      </c>
      <c r="J75" s="38">
        <f t="shared" si="88"/>
        <v>79596.705000000002</v>
      </c>
      <c r="K75" s="38">
        <f t="shared" si="88"/>
        <v>79552.297999999995</v>
      </c>
      <c r="L75" s="38">
        <f t="shared" ref="L75:M75" si="89">L76+L77</f>
        <v>172651.576</v>
      </c>
      <c r="M75" s="38">
        <f t="shared" si="89"/>
        <v>533770.495</v>
      </c>
      <c r="N75" s="38">
        <f t="shared" si="17"/>
        <v>-131.41799999994691</v>
      </c>
      <c r="O75" s="110">
        <f t="shared" si="18"/>
        <v>99.97537930604426</v>
      </c>
      <c r="P75" s="38">
        <f t="shared" ref="P75" si="90">P76+P77</f>
        <v>533533.39500000002</v>
      </c>
      <c r="Q75" s="38">
        <f t="shared" si="20"/>
        <v>105.6820000000298</v>
      </c>
      <c r="R75" s="110">
        <f t="shared" si="21"/>
        <v>100.01980794473045</v>
      </c>
      <c r="S75" s="110">
        <f t="shared" si="22"/>
        <v>58.918555767014055</v>
      </c>
      <c r="T75" s="38">
        <f>T76+T77</f>
        <v>472709.75000000006</v>
      </c>
      <c r="U75" s="62">
        <f>F75-T75</f>
        <v>60929.32699999999</v>
      </c>
      <c r="V75" s="63">
        <f>F75/T75*100</f>
        <v>112.88937387054105</v>
      </c>
    </row>
    <row r="76" spans="1:27" s="7" customFormat="1" ht="24" customHeight="1" x14ac:dyDescent="0.25">
      <c r="A76" s="13"/>
      <c r="B76" s="16" t="s">
        <v>95</v>
      </c>
      <c r="C76" s="16"/>
      <c r="D76" s="132">
        <f>D57+D56</f>
        <v>879086.1</v>
      </c>
      <c r="E76" s="132">
        <f>E57+E56</f>
        <v>879927.1</v>
      </c>
      <c r="F76" s="132">
        <f t="shared" si="16"/>
        <v>518593.4</v>
      </c>
      <c r="G76" s="132">
        <f t="shared" ref="G76:M76" si="91">G57+G56</f>
        <v>63808.4</v>
      </c>
      <c r="H76" s="132">
        <f t="shared" si="91"/>
        <v>63802.3</v>
      </c>
      <c r="I76" s="132">
        <f t="shared" si="91"/>
        <v>68537.3</v>
      </c>
      <c r="J76" s="132">
        <f t="shared" si="91"/>
        <v>77227.5</v>
      </c>
      <c r="K76" s="132">
        <f t="shared" si="91"/>
        <v>77274.399999999994</v>
      </c>
      <c r="L76" s="132">
        <f t="shared" si="91"/>
        <v>167943.5</v>
      </c>
      <c r="M76" s="132">
        <f t="shared" si="91"/>
        <v>518593.39999999997</v>
      </c>
      <c r="N76" s="132">
        <f t="shared" si="17"/>
        <v>0</v>
      </c>
      <c r="O76" s="115">
        <f t="shared" si="18"/>
        <v>100.00000000000003</v>
      </c>
      <c r="P76" s="132">
        <f>P57</f>
        <v>518356.3</v>
      </c>
      <c r="Q76" s="132">
        <f t="shared" si="20"/>
        <v>237.10000000003492</v>
      </c>
      <c r="R76" s="115">
        <f t="shared" si="21"/>
        <v>100.04574073856149</v>
      </c>
      <c r="S76" s="115">
        <f t="shared" si="22"/>
        <v>58.935950489534875</v>
      </c>
      <c r="T76" s="132">
        <f>T57</f>
        <v>455980.50000000006</v>
      </c>
      <c r="U76" s="130">
        <f>F76-T76</f>
        <v>62612.899999999965</v>
      </c>
      <c r="V76" s="131">
        <f>F76/T76*100</f>
        <v>113.73148632452484</v>
      </c>
    </row>
    <row r="77" spans="1:27" s="7" customFormat="1" ht="24.75" customHeight="1" x14ac:dyDescent="0.25">
      <c r="A77" s="13"/>
      <c r="B77" s="16" t="s">
        <v>94</v>
      </c>
      <c r="C77" s="16"/>
      <c r="D77" s="132">
        <f>D59+D63</f>
        <v>25417.366999999998</v>
      </c>
      <c r="E77" s="132">
        <f>E59+E63+E62</f>
        <v>25796.182000000001</v>
      </c>
      <c r="F77" s="132">
        <f t="shared" si="16"/>
        <v>15045.677</v>
      </c>
      <c r="G77" s="132">
        <f t="shared" ref="G77:M77" si="92">G59+G63+G62</f>
        <v>1701.0619999999999</v>
      </c>
      <c r="H77" s="132">
        <f t="shared" si="92"/>
        <v>1830.729</v>
      </c>
      <c r="I77" s="132">
        <f t="shared" si="92"/>
        <v>2158.7069999999999</v>
      </c>
      <c r="J77" s="132">
        <f t="shared" si="92"/>
        <v>2369.2049999999999</v>
      </c>
      <c r="K77" s="132">
        <f t="shared" si="92"/>
        <v>2277.8980000000001</v>
      </c>
      <c r="L77" s="132">
        <f t="shared" si="92"/>
        <v>4708.0760000000009</v>
      </c>
      <c r="M77" s="132">
        <f t="shared" si="92"/>
        <v>15177.094999999999</v>
      </c>
      <c r="N77" s="132">
        <f t="shared" si="17"/>
        <v>-131.41799999999967</v>
      </c>
      <c r="O77" s="115">
        <f t="shared" si="18"/>
        <v>99.134103067813712</v>
      </c>
      <c r="P77" s="132">
        <f>P59+P63+P62</f>
        <v>15177.094999999999</v>
      </c>
      <c r="Q77" s="132">
        <f t="shared" si="20"/>
        <v>-131.41799999999967</v>
      </c>
      <c r="R77" s="115">
        <f t="shared" si="21"/>
        <v>99.134103067813712</v>
      </c>
      <c r="S77" s="115">
        <f t="shared" si="22"/>
        <v>58.325208746007448</v>
      </c>
      <c r="T77" s="132">
        <f>T59+T63+T60+T61</f>
        <v>16729.25</v>
      </c>
      <c r="U77" s="130">
        <f>F77-T77</f>
        <v>-1683.5730000000003</v>
      </c>
      <c r="V77" s="131">
        <f>F77/T77*100</f>
        <v>89.936351001987532</v>
      </c>
    </row>
    <row r="78" spans="1:27" s="7" customFormat="1" ht="23.25" hidden="1" x14ac:dyDescent="0.25">
      <c r="A78" s="13"/>
      <c r="B78" s="35"/>
      <c r="C78" s="16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15"/>
      <c r="P78" s="132"/>
      <c r="Q78" s="132"/>
      <c r="R78" s="115"/>
      <c r="S78" s="115"/>
      <c r="T78" s="132"/>
      <c r="U78" s="130"/>
      <c r="V78" s="131"/>
    </row>
    <row r="79" spans="1:27" s="179" customFormat="1" ht="30.75" customHeight="1" x14ac:dyDescent="0.3">
      <c r="A79" s="171"/>
      <c r="B79" s="172" t="s">
        <v>28</v>
      </c>
      <c r="C79" s="173"/>
      <c r="D79" s="174">
        <f>D71+D53</f>
        <v>6124253.8440000005</v>
      </c>
      <c r="E79" s="174">
        <f>E71+E53</f>
        <v>6211935.5600000005</v>
      </c>
      <c r="F79" s="174">
        <f t="shared" si="16"/>
        <v>3195481.7630000003</v>
      </c>
      <c r="G79" s="174">
        <f t="shared" ref="G79:M79" si="93">G71+G53</f>
        <v>492255.30200000014</v>
      </c>
      <c r="H79" s="174">
        <f t="shared" si="93"/>
        <v>511684.46699999995</v>
      </c>
      <c r="I79" s="174">
        <f t="shared" si="93"/>
        <v>448401.6810000001</v>
      </c>
      <c r="J79" s="174">
        <f t="shared" si="93"/>
        <v>562337.29599999986</v>
      </c>
      <c r="K79" s="174">
        <f t="shared" si="93"/>
        <v>574545.47200000007</v>
      </c>
      <c r="L79" s="174">
        <f t="shared" si="93"/>
        <v>606257.54500000004</v>
      </c>
      <c r="M79" s="174">
        <f t="shared" si="93"/>
        <v>3059910.2969999998</v>
      </c>
      <c r="N79" s="174">
        <f t="shared" si="17"/>
        <v>135571.46600000048</v>
      </c>
      <c r="O79" s="175">
        <f t="shared" si="18"/>
        <v>104.43056994621436</v>
      </c>
      <c r="P79" s="174">
        <f>P71+P53</f>
        <v>3188067.5905000004</v>
      </c>
      <c r="Q79" s="174">
        <f t="shared" si="20"/>
        <v>7414.1724999998696</v>
      </c>
      <c r="R79" s="175">
        <f t="shared" si="21"/>
        <v>100.23256007877916</v>
      </c>
      <c r="S79" s="175">
        <f t="shared" si="22"/>
        <v>51.44099986446092</v>
      </c>
      <c r="T79" s="174">
        <f>T71+T53</f>
        <v>3074505.7680000002</v>
      </c>
      <c r="U79" s="176">
        <f>F79-T79</f>
        <v>120975.99500000011</v>
      </c>
      <c r="V79" s="177">
        <f>F79/T79*100</f>
        <v>103.93481112506406</v>
      </c>
      <c r="W79" s="174">
        <v>3074505.7680000002</v>
      </c>
      <c r="X79" s="178">
        <f>W79-T79</f>
        <v>0</v>
      </c>
      <c r="AA79" s="178"/>
    </row>
    <row r="80" spans="1:27" s="179" customFormat="1" ht="56.25" hidden="1" customHeight="1" x14ac:dyDescent="0.3">
      <c r="A80" s="171"/>
      <c r="B80" s="172" t="s">
        <v>160</v>
      </c>
      <c r="C80" s="173"/>
      <c r="D80" s="174">
        <f>D79</f>
        <v>6124253.8440000005</v>
      </c>
      <c r="E80" s="174">
        <f>E79</f>
        <v>6211935.5600000005</v>
      </c>
      <c r="F80" s="174">
        <f t="shared" si="16"/>
        <v>3195481.7630000003</v>
      </c>
      <c r="G80" s="174">
        <f t="shared" ref="G80:M80" si="94">G79</f>
        <v>492255.30200000014</v>
      </c>
      <c r="H80" s="174">
        <f t="shared" si="94"/>
        <v>511684.46699999995</v>
      </c>
      <c r="I80" s="174">
        <f t="shared" si="94"/>
        <v>448401.6810000001</v>
      </c>
      <c r="J80" s="174">
        <f t="shared" si="94"/>
        <v>562337.29599999986</v>
      </c>
      <c r="K80" s="174">
        <f t="shared" ref="K80" si="95">K79</f>
        <v>574545.47200000007</v>
      </c>
      <c r="L80" s="174">
        <f t="shared" si="94"/>
        <v>606257.54500000004</v>
      </c>
      <c r="M80" s="174">
        <f t="shared" si="94"/>
        <v>3059910.2969999998</v>
      </c>
      <c r="N80" s="174">
        <f t="shared" si="17"/>
        <v>135571.46600000048</v>
      </c>
      <c r="O80" s="175">
        <f t="shared" si="18"/>
        <v>104.43056994621436</v>
      </c>
      <c r="P80" s="174">
        <f>P79</f>
        <v>3188067.5905000004</v>
      </c>
      <c r="Q80" s="174">
        <f t="shared" si="20"/>
        <v>7414.1724999998696</v>
      </c>
      <c r="R80" s="175">
        <f t="shared" si="21"/>
        <v>100.23256007877916</v>
      </c>
      <c r="S80" s="175">
        <f t="shared" si="22"/>
        <v>51.44099986446092</v>
      </c>
      <c r="T80" s="174">
        <f>T71+T54</f>
        <v>2635338.4330000002</v>
      </c>
      <c r="U80" s="176">
        <f>F80-T80</f>
        <v>560143.33000000007</v>
      </c>
      <c r="V80" s="177">
        <f>F80/T80*100</f>
        <v>121.25508143416508</v>
      </c>
      <c r="W80" s="174"/>
      <c r="X80" s="178"/>
      <c r="AA80" s="178"/>
    </row>
    <row r="81" spans="1:23" s="9" customFormat="1" ht="20.25" customHeight="1" x14ac:dyDescent="0.25">
      <c r="A81" s="160" t="s">
        <v>9</v>
      </c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2"/>
    </row>
    <row r="82" spans="1:23" s="42" customFormat="1" ht="39.75" customHeight="1" x14ac:dyDescent="0.3">
      <c r="A82" s="23">
        <v>1</v>
      </c>
      <c r="B82" s="41" t="s">
        <v>12</v>
      </c>
      <c r="C82" s="24" t="s">
        <v>21</v>
      </c>
      <c r="D82" s="85">
        <f>D83+D84</f>
        <v>88942.407999999996</v>
      </c>
      <c r="E82" s="85">
        <f>E83+E84</f>
        <v>88942.407999999996</v>
      </c>
      <c r="F82" s="128">
        <f t="shared" ref="F82:F117" si="96">SUM(G82:L82)</f>
        <v>95800.973999999987</v>
      </c>
      <c r="G82" s="128">
        <f t="shared" ref="G82:L82" si="97">G83+G84</f>
        <v>9018.42</v>
      </c>
      <c r="H82" s="128">
        <f t="shared" ref="H82:K82" si="98">H83+H84</f>
        <v>22969.59</v>
      </c>
      <c r="I82" s="128">
        <f t="shared" si="98"/>
        <v>14417.822</v>
      </c>
      <c r="J82" s="128">
        <f t="shared" si="98"/>
        <v>20530.981</v>
      </c>
      <c r="K82" s="128">
        <f t="shared" si="98"/>
        <v>11056.424000000001</v>
      </c>
      <c r="L82" s="128">
        <f t="shared" si="97"/>
        <v>17807.737000000001</v>
      </c>
      <c r="M82" s="128">
        <f>M83+M84</f>
        <v>44471.203999999998</v>
      </c>
      <c r="N82" s="128">
        <f t="shared" ref="N82:N102" si="99">F82-M82</f>
        <v>51329.76999999999</v>
      </c>
      <c r="O82" s="112">
        <f t="shared" ref="O82:O102" si="100">F82/M82*100</f>
        <v>215.42248777433593</v>
      </c>
      <c r="P82" s="128">
        <f>P83</f>
        <v>44471.203999999998</v>
      </c>
      <c r="Q82" s="128">
        <f t="shared" ref="Q82:Q102" si="101">F82-P82</f>
        <v>51329.76999999999</v>
      </c>
      <c r="R82" s="112">
        <f t="shared" ref="R82:R102" si="102">F82/P82*100</f>
        <v>215.42248777433593</v>
      </c>
      <c r="S82" s="112">
        <f t="shared" ref="S82:S102" si="103">F82/E82*100</f>
        <v>107.71124388716797</v>
      </c>
      <c r="T82" s="128">
        <f t="shared" ref="T82" si="104">T83+T84</f>
        <v>92680.337999999989</v>
      </c>
      <c r="U82" s="83">
        <f t="shared" ref="U82:U101" si="105">F82-T82</f>
        <v>3120.6359999999986</v>
      </c>
      <c r="V82" s="84">
        <f t="shared" ref="V82:V90" si="106">F82/T82*100</f>
        <v>103.3670960500813</v>
      </c>
    </row>
    <row r="83" spans="1:23" s="45" customFormat="1" ht="39" x14ac:dyDescent="0.3">
      <c r="A83" s="125" t="s">
        <v>109</v>
      </c>
      <c r="B83" s="71" t="s">
        <v>105</v>
      </c>
      <c r="C83" s="16" t="s">
        <v>106</v>
      </c>
      <c r="D83" s="132">
        <v>88942.407999999996</v>
      </c>
      <c r="E83" s="132">
        <v>88942.407999999996</v>
      </c>
      <c r="F83" s="129">
        <f t="shared" si="96"/>
        <v>54900.264999999999</v>
      </c>
      <c r="G83" s="129">
        <v>6842.0010000000002</v>
      </c>
      <c r="H83" s="129">
        <v>8199.6650000000009</v>
      </c>
      <c r="I83" s="129">
        <v>8145.8459999999995</v>
      </c>
      <c r="J83" s="129">
        <v>15996.834999999999</v>
      </c>
      <c r="K83" s="129">
        <v>8775.9030000000002</v>
      </c>
      <c r="L83" s="129">
        <v>6940.0150000000003</v>
      </c>
      <c r="M83" s="129">
        <v>44471.203999999998</v>
      </c>
      <c r="N83" s="129">
        <f t="shared" si="99"/>
        <v>10429.061000000002</v>
      </c>
      <c r="O83" s="113">
        <f t="shared" si="100"/>
        <v>123.45126747636516</v>
      </c>
      <c r="P83" s="129">
        <f>E83/12*6</f>
        <v>44471.203999999998</v>
      </c>
      <c r="Q83" s="129">
        <f t="shared" si="101"/>
        <v>10429.061000000002</v>
      </c>
      <c r="R83" s="113">
        <f t="shared" si="102"/>
        <v>123.45126747636516</v>
      </c>
      <c r="S83" s="113">
        <f t="shared" si="103"/>
        <v>61.72563373818258</v>
      </c>
      <c r="T83" s="129">
        <v>48763.842999999993</v>
      </c>
      <c r="U83" s="130">
        <f t="shared" si="105"/>
        <v>6136.4220000000059</v>
      </c>
      <c r="V83" s="131">
        <f t="shared" si="106"/>
        <v>112.58395897960709</v>
      </c>
    </row>
    <row r="84" spans="1:23" s="45" customFormat="1" ht="36" customHeight="1" x14ac:dyDescent="0.3">
      <c r="A84" s="125" t="s">
        <v>110</v>
      </c>
      <c r="B84" s="71" t="s">
        <v>107</v>
      </c>
      <c r="C84" s="16" t="s">
        <v>108</v>
      </c>
      <c r="D84" s="132">
        <v>0</v>
      </c>
      <c r="E84" s="132">
        <v>0</v>
      </c>
      <c r="F84" s="129">
        <f t="shared" si="96"/>
        <v>40900.708999999995</v>
      </c>
      <c r="G84" s="129">
        <v>2176.4189999999999</v>
      </c>
      <c r="H84" s="129">
        <v>14769.924999999999</v>
      </c>
      <c r="I84" s="129">
        <v>6271.9759999999997</v>
      </c>
      <c r="J84" s="129">
        <v>4534.1459999999997</v>
      </c>
      <c r="K84" s="129">
        <v>2280.5210000000002</v>
      </c>
      <c r="L84" s="129">
        <v>10867.722</v>
      </c>
      <c r="M84" s="129">
        <v>0</v>
      </c>
      <c r="N84" s="129">
        <f t="shared" si="99"/>
        <v>40900.708999999995</v>
      </c>
      <c r="O84" s="113"/>
      <c r="P84" s="129"/>
      <c r="Q84" s="129">
        <f t="shared" si="101"/>
        <v>40900.708999999995</v>
      </c>
      <c r="R84" s="113"/>
      <c r="S84" s="113"/>
      <c r="T84" s="129">
        <v>43916.494999999995</v>
      </c>
      <c r="U84" s="130">
        <f t="shared" si="105"/>
        <v>-3015.7860000000001</v>
      </c>
      <c r="V84" s="131">
        <f t="shared" si="106"/>
        <v>93.132908261463029</v>
      </c>
    </row>
    <row r="85" spans="1:23" s="42" customFormat="1" ht="39" x14ac:dyDescent="0.3">
      <c r="A85" s="124">
        <v>2</v>
      </c>
      <c r="B85" s="82" t="s">
        <v>178</v>
      </c>
      <c r="C85" s="24" t="s">
        <v>179</v>
      </c>
      <c r="D85" s="85">
        <v>0</v>
      </c>
      <c r="E85" s="85">
        <v>0</v>
      </c>
      <c r="F85" s="128">
        <f t="shared" si="96"/>
        <v>0.62</v>
      </c>
      <c r="G85" s="128">
        <v>0</v>
      </c>
      <c r="H85" s="128">
        <v>1.2999999999999999E-2</v>
      </c>
      <c r="I85" s="128">
        <v>0.60699999999999998</v>
      </c>
      <c r="J85" s="128">
        <v>0</v>
      </c>
      <c r="K85" s="128">
        <v>0</v>
      </c>
      <c r="L85" s="128">
        <v>0</v>
      </c>
      <c r="M85" s="128"/>
      <c r="N85" s="128">
        <f t="shared" si="99"/>
        <v>0.62</v>
      </c>
      <c r="O85" s="112"/>
      <c r="P85" s="128"/>
      <c r="Q85" s="128">
        <f t="shared" si="101"/>
        <v>0.62</v>
      </c>
      <c r="R85" s="112"/>
      <c r="S85" s="112"/>
      <c r="T85" s="128">
        <v>0</v>
      </c>
      <c r="U85" s="83">
        <f t="shared" si="105"/>
        <v>0.62</v>
      </c>
      <c r="V85" s="84"/>
    </row>
    <row r="86" spans="1:23" s="42" customFormat="1" ht="23.25" x14ac:dyDescent="0.3">
      <c r="A86" s="23">
        <f>A85+1</f>
        <v>3</v>
      </c>
      <c r="B86" s="82" t="s">
        <v>32</v>
      </c>
      <c r="C86" s="24" t="s">
        <v>31</v>
      </c>
      <c r="D86" s="85">
        <v>3460</v>
      </c>
      <c r="E86" s="85">
        <v>3200</v>
      </c>
      <c r="F86" s="128">
        <f t="shared" si="96"/>
        <v>2010.877</v>
      </c>
      <c r="G86" s="128">
        <v>20.629000000000001</v>
      </c>
      <c r="H86" s="128">
        <v>894.51700000000005</v>
      </c>
      <c r="I86" s="128">
        <v>27.177</v>
      </c>
      <c r="J86" s="128">
        <v>154.21100000000001</v>
      </c>
      <c r="K86" s="128">
        <v>913.49699999999996</v>
      </c>
      <c r="L86" s="128">
        <v>0.84599999999999997</v>
      </c>
      <c r="M86" s="128">
        <v>2009.615</v>
      </c>
      <c r="N86" s="128">
        <f t="shared" si="99"/>
        <v>1.2619999999999436</v>
      </c>
      <c r="O86" s="112">
        <f t="shared" si="100"/>
        <v>100.06279809814318</v>
      </c>
      <c r="P86" s="128">
        <f t="shared" ref="P86:P87" si="107">E86/12*6</f>
        <v>1600</v>
      </c>
      <c r="Q86" s="128">
        <f t="shared" si="101"/>
        <v>410.87699999999995</v>
      </c>
      <c r="R86" s="112">
        <f t="shared" si="102"/>
        <v>125.6798125</v>
      </c>
      <c r="S86" s="112">
        <f t="shared" si="103"/>
        <v>62.839906249999999</v>
      </c>
      <c r="T86" s="128">
        <v>1353.1869999999999</v>
      </c>
      <c r="U86" s="83">
        <f t="shared" si="105"/>
        <v>657.69</v>
      </c>
      <c r="V86" s="84">
        <f t="shared" si="106"/>
        <v>148.60303860442053</v>
      </c>
    </row>
    <row r="87" spans="1:23" s="42" customFormat="1" ht="58.5" x14ac:dyDescent="0.3">
      <c r="A87" s="23">
        <f>A86+1</f>
        <v>4</v>
      </c>
      <c r="B87" s="41" t="s">
        <v>26</v>
      </c>
      <c r="C87" s="24" t="s">
        <v>25</v>
      </c>
      <c r="D87" s="85">
        <v>50</v>
      </c>
      <c r="E87" s="85">
        <v>310</v>
      </c>
      <c r="F87" s="128">
        <f t="shared" si="96"/>
        <v>314.09699999999998</v>
      </c>
      <c r="G87" s="128">
        <v>0</v>
      </c>
      <c r="H87" s="128">
        <v>286.39699999999999</v>
      </c>
      <c r="I87" s="128">
        <v>2.5</v>
      </c>
      <c r="J87" s="128">
        <v>11.493</v>
      </c>
      <c r="K87" s="128">
        <v>2.4750000000000001</v>
      </c>
      <c r="L87" s="128">
        <v>11.231999999999999</v>
      </c>
      <c r="M87" s="128">
        <v>300</v>
      </c>
      <c r="N87" s="128">
        <f t="shared" si="99"/>
        <v>14.09699999999998</v>
      </c>
      <c r="O87" s="112">
        <f t="shared" si="100"/>
        <v>104.69899999999998</v>
      </c>
      <c r="P87" s="128">
        <f t="shared" si="107"/>
        <v>155</v>
      </c>
      <c r="Q87" s="128">
        <f t="shared" si="101"/>
        <v>159.09699999999998</v>
      </c>
      <c r="R87" s="112">
        <f t="shared" si="102"/>
        <v>202.64322580645162</v>
      </c>
      <c r="S87" s="112">
        <f>F87/E87*100</f>
        <v>101.32161290322581</v>
      </c>
      <c r="T87" s="128">
        <v>40.716000000000001</v>
      </c>
      <c r="U87" s="83">
        <f t="shared" si="105"/>
        <v>273.38099999999997</v>
      </c>
      <c r="V87" s="84">
        <f t="shared" si="106"/>
        <v>771.43383436486874</v>
      </c>
    </row>
    <row r="88" spans="1:23" s="30" customFormat="1" ht="31.5" customHeight="1" x14ac:dyDescent="0.3">
      <c r="A88" s="11">
        <f t="shared" ref="A88" si="108">A87+1</f>
        <v>5</v>
      </c>
      <c r="B88" s="15" t="s">
        <v>10</v>
      </c>
      <c r="C88" s="8"/>
      <c r="D88" s="38">
        <f>SUM(D89:D91)</f>
        <v>110700</v>
      </c>
      <c r="E88" s="38">
        <f>SUM(E89:E91)</f>
        <v>110700</v>
      </c>
      <c r="F88" s="38">
        <f t="shared" si="96"/>
        <v>67766.720000000001</v>
      </c>
      <c r="G88" s="38">
        <f t="shared" ref="G88:M88" si="109">SUM(G89:G91)</f>
        <v>30538.786</v>
      </c>
      <c r="H88" s="38">
        <f t="shared" si="109"/>
        <v>5031.7709999999997</v>
      </c>
      <c r="I88" s="38">
        <f t="shared" si="109"/>
        <v>7656.5209999999997</v>
      </c>
      <c r="J88" s="38">
        <f t="shared" si="109"/>
        <v>2151.5749999999998</v>
      </c>
      <c r="K88" s="38">
        <f t="shared" ref="K88" si="110">SUM(K89:K91)</f>
        <v>9255.86</v>
      </c>
      <c r="L88" s="38">
        <f t="shared" si="109"/>
        <v>13132.207</v>
      </c>
      <c r="M88" s="38">
        <f t="shared" si="109"/>
        <v>66469.114999999991</v>
      </c>
      <c r="N88" s="38">
        <f t="shared" si="99"/>
        <v>1297.6050000000105</v>
      </c>
      <c r="O88" s="110">
        <f t="shared" si="100"/>
        <v>101.9521923828834</v>
      </c>
      <c r="P88" s="38">
        <f>SUM(P89:P91)</f>
        <v>55350</v>
      </c>
      <c r="Q88" s="38">
        <f t="shared" si="101"/>
        <v>12416.720000000001</v>
      </c>
      <c r="R88" s="110">
        <f t="shared" si="102"/>
        <v>122.43309846431798</v>
      </c>
      <c r="S88" s="110">
        <f t="shared" si="103"/>
        <v>61.216549232158989</v>
      </c>
      <c r="T88" s="38">
        <f>SUM(T89:T91)</f>
        <v>32672.608</v>
      </c>
      <c r="U88" s="62">
        <f t="shared" si="105"/>
        <v>35094.112000000001</v>
      </c>
      <c r="V88" s="63">
        <f t="shared" si="106"/>
        <v>207.41141937613307</v>
      </c>
      <c r="W88" s="43"/>
    </row>
    <row r="89" spans="1:23" s="45" customFormat="1" ht="39" x14ac:dyDescent="0.3">
      <c r="A89" s="13" t="s">
        <v>162</v>
      </c>
      <c r="B89" s="71" t="s">
        <v>125</v>
      </c>
      <c r="C89" s="16" t="s">
        <v>45</v>
      </c>
      <c r="D89" s="132">
        <v>0</v>
      </c>
      <c r="E89" s="132">
        <v>743.3</v>
      </c>
      <c r="F89" s="129">
        <f t="shared" si="96"/>
        <v>867.70699999999999</v>
      </c>
      <c r="G89" s="129">
        <v>48</v>
      </c>
      <c r="H89" s="129">
        <v>0</v>
      </c>
      <c r="I89" s="129">
        <v>274.428</v>
      </c>
      <c r="J89" s="129">
        <v>389.16300000000001</v>
      </c>
      <c r="K89" s="129">
        <v>32.283999999999999</v>
      </c>
      <c r="L89" s="129">
        <v>123.83199999999999</v>
      </c>
      <c r="M89" s="129">
        <v>743.3</v>
      </c>
      <c r="N89" s="129">
        <f t="shared" si="99"/>
        <v>124.40700000000004</v>
      </c>
      <c r="O89" s="115">
        <f t="shared" si="100"/>
        <v>116.73711825642405</v>
      </c>
      <c r="P89" s="129">
        <f t="shared" ref="P89:P92" si="111">E89/12*6</f>
        <v>371.65</v>
      </c>
      <c r="Q89" s="129">
        <f t="shared" si="101"/>
        <v>496.05700000000002</v>
      </c>
      <c r="R89" s="113">
        <f t="shared" ref="R89" si="112">F89/P89*100</f>
        <v>233.47423651284811</v>
      </c>
      <c r="S89" s="113">
        <f t="shared" ref="S89" si="113">F89/E89*100</f>
        <v>116.73711825642405</v>
      </c>
      <c r="T89" s="129">
        <v>1986.1869999999999</v>
      </c>
      <c r="U89" s="130">
        <f t="shared" si="105"/>
        <v>-1118.48</v>
      </c>
      <c r="V89" s="131">
        <f t="shared" si="106"/>
        <v>43.687074781981764</v>
      </c>
    </row>
    <row r="90" spans="1:23" s="45" customFormat="1" ht="23.25" x14ac:dyDescent="0.3">
      <c r="A90" s="13" t="s">
        <v>163</v>
      </c>
      <c r="B90" s="71" t="s">
        <v>37</v>
      </c>
      <c r="C90" s="16" t="s">
        <v>22</v>
      </c>
      <c r="D90" s="132">
        <v>14000</v>
      </c>
      <c r="E90" s="132">
        <v>13256.7</v>
      </c>
      <c r="F90" s="129">
        <f t="shared" si="96"/>
        <v>724.74200000000008</v>
      </c>
      <c r="G90" s="129">
        <v>0</v>
      </c>
      <c r="H90" s="129">
        <v>9.6319999999999997</v>
      </c>
      <c r="I90" s="129">
        <v>0</v>
      </c>
      <c r="J90" s="129">
        <v>1.42</v>
      </c>
      <c r="K90" s="129">
        <v>535.19000000000005</v>
      </c>
      <c r="L90" s="129">
        <v>178.5</v>
      </c>
      <c r="M90" s="129">
        <v>706.7</v>
      </c>
      <c r="N90" s="129">
        <f t="shared" si="99"/>
        <v>18.04200000000003</v>
      </c>
      <c r="O90" s="115">
        <f t="shared" si="100"/>
        <v>102.55299278335927</v>
      </c>
      <c r="P90" s="129">
        <f t="shared" si="111"/>
        <v>6628.35</v>
      </c>
      <c r="Q90" s="129">
        <f t="shared" si="101"/>
        <v>-5903.6080000000002</v>
      </c>
      <c r="R90" s="113">
        <f t="shared" si="102"/>
        <v>10.933973009874252</v>
      </c>
      <c r="S90" s="113">
        <f t="shared" si="103"/>
        <v>5.4669865049371262</v>
      </c>
      <c r="T90" s="129">
        <v>3805.857</v>
      </c>
      <c r="U90" s="130">
        <f t="shared" si="105"/>
        <v>-3081.1149999999998</v>
      </c>
      <c r="V90" s="131">
        <f t="shared" si="106"/>
        <v>19.04280691576168</v>
      </c>
    </row>
    <row r="91" spans="1:23" s="44" customFormat="1" ht="32.25" customHeight="1" x14ac:dyDescent="0.3">
      <c r="A91" s="13" t="s">
        <v>164</v>
      </c>
      <c r="B91" s="35" t="s">
        <v>65</v>
      </c>
      <c r="C91" s="16" t="s">
        <v>43</v>
      </c>
      <c r="D91" s="132">
        <v>96700</v>
      </c>
      <c r="E91" s="132">
        <v>96700</v>
      </c>
      <c r="F91" s="132">
        <f t="shared" si="96"/>
        <v>66174.271000000008</v>
      </c>
      <c r="G91" s="132">
        <v>30490.786</v>
      </c>
      <c r="H91" s="132">
        <v>5022.1390000000001</v>
      </c>
      <c r="I91" s="132">
        <v>7382.0929999999998</v>
      </c>
      <c r="J91" s="132">
        <v>1760.992</v>
      </c>
      <c r="K91" s="132">
        <v>8688.3860000000004</v>
      </c>
      <c r="L91" s="132">
        <v>12829.875</v>
      </c>
      <c r="M91" s="132">
        <v>65019.114999999998</v>
      </c>
      <c r="N91" s="132">
        <f t="shared" si="99"/>
        <v>1155.15600000001</v>
      </c>
      <c r="O91" s="115">
        <f t="shared" si="100"/>
        <v>101.77664060791972</v>
      </c>
      <c r="P91" s="132">
        <f t="shared" si="111"/>
        <v>48350</v>
      </c>
      <c r="Q91" s="132">
        <f t="shared" si="101"/>
        <v>17824.271000000008</v>
      </c>
      <c r="R91" s="115">
        <f t="shared" si="102"/>
        <v>136.86508996897624</v>
      </c>
      <c r="S91" s="115">
        <f t="shared" si="103"/>
        <v>68.432544984488118</v>
      </c>
      <c r="T91" s="132">
        <v>26880.563999999998</v>
      </c>
      <c r="U91" s="130">
        <f t="shared" si="105"/>
        <v>39293.707000000009</v>
      </c>
      <c r="V91" s="131">
        <f>F91/T91*100</f>
        <v>246.17887853841168</v>
      </c>
    </row>
    <row r="92" spans="1:23" s="42" customFormat="1" ht="23.25" x14ac:dyDescent="0.3">
      <c r="A92" s="23">
        <v>6</v>
      </c>
      <c r="B92" s="82" t="s">
        <v>11</v>
      </c>
      <c r="C92" s="24" t="s">
        <v>23</v>
      </c>
      <c r="D92" s="85">
        <v>10220.1</v>
      </c>
      <c r="E92" s="85">
        <v>10220.1</v>
      </c>
      <c r="F92" s="128">
        <f t="shared" si="96"/>
        <v>7046.1659999999993</v>
      </c>
      <c r="G92" s="128">
        <v>885.63199999999995</v>
      </c>
      <c r="H92" s="128">
        <v>822.52</v>
      </c>
      <c r="I92" s="128">
        <v>2986.248</v>
      </c>
      <c r="J92" s="128">
        <v>540.67999999999995</v>
      </c>
      <c r="K92" s="128">
        <v>978.33299999999997</v>
      </c>
      <c r="L92" s="128">
        <v>832.75300000000004</v>
      </c>
      <c r="M92" s="128">
        <v>6830.04</v>
      </c>
      <c r="N92" s="128">
        <f t="shared" si="99"/>
        <v>216.12599999999929</v>
      </c>
      <c r="O92" s="112">
        <f t="shared" si="100"/>
        <v>103.16434457192049</v>
      </c>
      <c r="P92" s="128">
        <f t="shared" si="111"/>
        <v>5110.05</v>
      </c>
      <c r="Q92" s="128">
        <f t="shared" si="101"/>
        <v>1936.1159999999991</v>
      </c>
      <c r="R92" s="112">
        <f t="shared" si="102"/>
        <v>137.88839639533859</v>
      </c>
      <c r="S92" s="112">
        <f t="shared" si="103"/>
        <v>68.944198197669294</v>
      </c>
      <c r="T92" s="128">
        <v>7214.7610000000004</v>
      </c>
      <c r="U92" s="83">
        <f t="shared" si="105"/>
        <v>-168.59500000000116</v>
      </c>
      <c r="V92" s="84">
        <f>F92/T92*100</f>
        <v>97.663193555545348</v>
      </c>
    </row>
    <row r="93" spans="1:23" s="182" customFormat="1" ht="31.5" customHeight="1" x14ac:dyDescent="0.3">
      <c r="A93" s="180"/>
      <c r="B93" s="181" t="s">
        <v>146</v>
      </c>
      <c r="C93" s="37"/>
      <c r="D93" s="38">
        <f>D82+D86+D87+D89+D90+D91+D92+D85</f>
        <v>213372.508</v>
      </c>
      <c r="E93" s="38">
        <f>E82+E86+E87+E89+E90+E91+E92+E85</f>
        <v>213372.508</v>
      </c>
      <c r="F93" s="38">
        <f t="shared" si="96"/>
        <v>172939.454</v>
      </c>
      <c r="G93" s="38">
        <f t="shared" ref="G93:M93" si="114">G82+G86+G87+G89+G90+G91+G92+G85</f>
        <v>40463.466999999997</v>
      </c>
      <c r="H93" s="38">
        <f t="shared" si="114"/>
        <v>30004.808000000001</v>
      </c>
      <c r="I93" s="38">
        <f t="shared" ref="I93:K93" si="115">I82+I86+I87+I89+I90+I91+I92+I85</f>
        <v>25090.875</v>
      </c>
      <c r="J93" s="38">
        <f t="shared" si="115"/>
        <v>23388.939999999995</v>
      </c>
      <c r="K93" s="38">
        <f t="shared" si="115"/>
        <v>22206.589</v>
      </c>
      <c r="L93" s="38">
        <f t="shared" si="114"/>
        <v>31784.775000000001</v>
      </c>
      <c r="M93" s="38">
        <f t="shared" si="114"/>
        <v>120079.97399999999</v>
      </c>
      <c r="N93" s="38">
        <f t="shared" si="99"/>
        <v>52859.48000000001</v>
      </c>
      <c r="O93" s="110">
        <f t="shared" si="100"/>
        <v>144.02022938479317</v>
      </c>
      <c r="P93" s="38">
        <f>P82+P86+P87+P89+P90+P91+P92+P85</f>
        <v>106686.254</v>
      </c>
      <c r="Q93" s="38">
        <f t="shared" si="101"/>
        <v>66253.2</v>
      </c>
      <c r="R93" s="110">
        <f t="shared" si="102"/>
        <v>162.10097132101012</v>
      </c>
      <c r="S93" s="110">
        <f t="shared" si="103"/>
        <v>81.050485660505061</v>
      </c>
      <c r="T93" s="38">
        <f>T82+T86+T87+T89+T90+T91+T92+T85</f>
        <v>133961.61000000002</v>
      </c>
      <c r="U93" s="62">
        <f t="shared" si="105"/>
        <v>38977.843999999983</v>
      </c>
      <c r="V93" s="63">
        <f>F93/T93*100</f>
        <v>129.09627915042225</v>
      </c>
    </row>
    <row r="94" spans="1:23" s="26" customFormat="1" ht="78" x14ac:dyDescent="0.25">
      <c r="A94" s="23">
        <v>1</v>
      </c>
      <c r="B94" s="41" t="s">
        <v>140</v>
      </c>
      <c r="C94" s="24" t="s">
        <v>68</v>
      </c>
      <c r="D94" s="85">
        <v>17390</v>
      </c>
      <c r="E94" s="85">
        <v>17390</v>
      </c>
      <c r="F94" s="85">
        <f t="shared" si="96"/>
        <v>16316.299000000001</v>
      </c>
      <c r="G94" s="85">
        <v>0</v>
      </c>
      <c r="H94" s="85">
        <v>0</v>
      </c>
      <c r="I94" s="85">
        <v>130.697</v>
      </c>
      <c r="J94" s="85">
        <v>0</v>
      </c>
      <c r="K94" s="85">
        <v>0</v>
      </c>
      <c r="L94" s="85">
        <v>16185.602000000001</v>
      </c>
      <c r="M94" s="85">
        <v>17390</v>
      </c>
      <c r="N94" s="85">
        <f t="shared" si="99"/>
        <v>-1073.7009999999991</v>
      </c>
      <c r="O94" s="87">
        <f t="shared" si="100"/>
        <v>93.825756181713643</v>
      </c>
      <c r="P94" s="85">
        <f>M94</f>
        <v>17390</v>
      </c>
      <c r="Q94" s="85">
        <f t="shared" si="101"/>
        <v>-1073.7009999999991</v>
      </c>
      <c r="R94" s="87">
        <f t="shared" si="102"/>
        <v>93.825756181713643</v>
      </c>
      <c r="S94" s="87">
        <f t="shared" si="103"/>
        <v>93.825756181713643</v>
      </c>
      <c r="T94" s="85">
        <v>34000</v>
      </c>
      <c r="U94" s="83">
        <f t="shared" si="105"/>
        <v>-17683.701000000001</v>
      </c>
      <c r="V94" s="84">
        <f>F94/T94*100</f>
        <v>47.989114705882358</v>
      </c>
    </row>
    <row r="95" spans="1:23" s="26" customFormat="1" ht="39" x14ac:dyDescent="0.25">
      <c r="A95" s="23">
        <f>A94+1</f>
        <v>2</v>
      </c>
      <c r="B95" s="106" t="s">
        <v>175</v>
      </c>
      <c r="C95" s="95" t="s">
        <v>176</v>
      </c>
      <c r="D95" s="85">
        <v>0</v>
      </c>
      <c r="E95" s="85">
        <v>10260.334000000001</v>
      </c>
      <c r="F95" s="85">
        <f t="shared" si="96"/>
        <v>10260.334000000001</v>
      </c>
      <c r="G95" s="85">
        <v>0</v>
      </c>
      <c r="H95" s="85">
        <v>10260.334000000001</v>
      </c>
      <c r="I95" s="85">
        <v>0</v>
      </c>
      <c r="J95" s="85">
        <v>0</v>
      </c>
      <c r="K95" s="85">
        <v>0</v>
      </c>
      <c r="L95" s="85">
        <v>0</v>
      </c>
      <c r="M95" s="85">
        <v>10260.334000000001</v>
      </c>
      <c r="N95" s="85">
        <f t="shared" ref="N95:N96" si="116">F95-M95</f>
        <v>0</v>
      </c>
      <c r="O95" s="87">
        <f t="shared" ref="O95:O96" si="117">F95/M95*100</f>
        <v>100</v>
      </c>
      <c r="P95" s="85">
        <f>M95</f>
        <v>10260.334000000001</v>
      </c>
      <c r="Q95" s="85">
        <f t="shared" ref="Q95:Q96" si="118">F95-P95</f>
        <v>0</v>
      </c>
      <c r="R95" s="87">
        <f t="shared" ref="R95:R96" si="119">F95/P95*100</f>
        <v>100</v>
      </c>
      <c r="S95" s="87">
        <f t="shared" ref="S95:S96" si="120">F95/E95*100</f>
        <v>100</v>
      </c>
      <c r="T95" s="85">
        <v>0</v>
      </c>
      <c r="U95" s="83">
        <f t="shared" si="105"/>
        <v>10260.334000000001</v>
      </c>
      <c r="V95" s="84"/>
    </row>
    <row r="96" spans="1:23" s="26" customFormat="1" ht="39" x14ac:dyDescent="0.25">
      <c r="A96" s="23">
        <v>3</v>
      </c>
      <c r="B96" s="41" t="s">
        <v>154</v>
      </c>
      <c r="C96" s="24" t="s">
        <v>155</v>
      </c>
      <c r="D96" s="85">
        <v>0</v>
      </c>
      <c r="E96" s="85">
        <v>32619.324000000001</v>
      </c>
      <c r="F96" s="85">
        <f t="shared" si="96"/>
        <v>32619.324000000001</v>
      </c>
      <c r="G96" s="85">
        <v>24369.562000000002</v>
      </c>
      <c r="H96" s="85">
        <v>0</v>
      </c>
      <c r="I96" s="85">
        <v>0</v>
      </c>
      <c r="J96" s="85">
        <v>0</v>
      </c>
      <c r="K96" s="85">
        <v>8249.7620000000006</v>
      </c>
      <c r="L96" s="85">
        <v>0</v>
      </c>
      <c r="M96" s="85">
        <v>32619.324000000001</v>
      </c>
      <c r="N96" s="85">
        <f t="shared" si="116"/>
        <v>0</v>
      </c>
      <c r="O96" s="87">
        <f t="shared" si="117"/>
        <v>100</v>
      </c>
      <c r="P96" s="128">
        <f>M96</f>
        <v>32619.324000000001</v>
      </c>
      <c r="Q96" s="85">
        <f t="shared" si="118"/>
        <v>0</v>
      </c>
      <c r="R96" s="87">
        <f t="shared" si="119"/>
        <v>100</v>
      </c>
      <c r="S96" s="87">
        <f t="shared" si="120"/>
        <v>100</v>
      </c>
      <c r="T96" s="85">
        <v>0</v>
      </c>
      <c r="U96" s="83">
        <f t="shared" ref="U96" si="121">F96-T96</f>
        <v>32619.324000000001</v>
      </c>
      <c r="V96" s="84"/>
    </row>
    <row r="97" spans="1:24" s="39" customFormat="1" ht="31.5" customHeight="1" x14ac:dyDescent="0.3">
      <c r="A97" s="169"/>
      <c r="B97" s="40" t="s">
        <v>27</v>
      </c>
      <c r="C97" s="37"/>
      <c r="D97" s="38">
        <f t="shared" ref="D97:E97" si="122">D98+D101</f>
        <v>17390</v>
      </c>
      <c r="E97" s="38">
        <f t="shared" si="122"/>
        <v>60269.658000000003</v>
      </c>
      <c r="F97" s="38">
        <f>SUM(G97:L97)</f>
        <v>59195.957000000002</v>
      </c>
      <c r="G97" s="38">
        <f t="shared" ref="G97:H97" si="123">G98+G101</f>
        <v>24369.562000000002</v>
      </c>
      <c r="H97" s="38">
        <f t="shared" si="123"/>
        <v>10260.334000000001</v>
      </c>
      <c r="I97" s="38">
        <f>I98+I101</f>
        <v>130.697</v>
      </c>
      <c r="J97" s="38">
        <f>J98+J101</f>
        <v>0</v>
      </c>
      <c r="K97" s="38">
        <f>K98+K101</f>
        <v>8249.7620000000006</v>
      </c>
      <c r="L97" s="38">
        <f>L98+L101</f>
        <v>16185.602000000001</v>
      </c>
      <c r="M97" s="38">
        <f t="shared" ref="M97" si="124">M98</f>
        <v>27650.334000000003</v>
      </c>
      <c r="N97" s="38">
        <f t="shared" si="99"/>
        <v>31545.623</v>
      </c>
      <c r="O97" s="110">
        <f t="shared" si="100"/>
        <v>214.08767431163761</v>
      </c>
      <c r="P97" s="38">
        <f>P98+P101</f>
        <v>60269.658000000003</v>
      </c>
      <c r="Q97" s="38">
        <f t="shared" si="101"/>
        <v>-1073.7010000000009</v>
      </c>
      <c r="R97" s="110">
        <f t="shared" si="102"/>
        <v>98.218504906731013</v>
      </c>
      <c r="S97" s="110">
        <f t="shared" si="103"/>
        <v>98.218504906731013</v>
      </c>
      <c r="T97" s="38">
        <f>T98+T101</f>
        <v>34000</v>
      </c>
      <c r="U97" s="62">
        <f t="shared" si="105"/>
        <v>25195.957000000002</v>
      </c>
      <c r="V97" s="63">
        <f t="shared" ref="V97:V99" si="125">F97/T97*100</f>
        <v>174.10575588235295</v>
      </c>
    </row>
    <row r="98" spans="1:24" s="111" customFormat="1" ht="36" customHeight="1" x14ac:dyDescent="0.25">
      <c r="A98" s="32"/>
      <c r="B98" s="109" t="s">
        <v>69</v>
      </c>
      <c r="C98" s="25"/>
      <c r="D98" s="38">
        <f>D99+D100</f>
        <v>17390</v>
      </c>
      <c r="E98" s="38">
        <f>E99+E100</f>
        <v>27650.334000000003</v>
      </c>
      <c r="F98" s="38">
        <f>SUM(G98:L98)</f>
        <v>26576.633000000002</v>
      </c>
      <c r="G98" s="38">
        <f t="shared" ref="G98:M98" si="126">G99+G100</f>
        <v>0</v>
      </c>
      <c r="H98" s="38">
        <f t="shared" si="126"/>
        <v>10260.334000000001</v>
      </c>
      <c r="I98" s="38">
        <f t="shared" si="126"/>
        <v>130.697</v>
      </c>
      <c r="J98" s="38">
        <f t="shared" si="126"/>
        <v>0</v>
      </c>
      <c r="K98" s="38">
        <f t="shared" ref="K98" si="127">K99+K100</f>
        <v>0</v>
      </c>
      <c r="L98" s="38">
        <f t="shared" si="126"/>
        <v>16185.602000000001</v>
      </c>
      <c r="M98" s="38">
        <f t="shared" si="126"/>
        <v>27650.334000000003</v>
      </c>
      <c r="N98" s="38">
        <f t="shared" si="99"/>
        <v>-1073.7010000000009</v>
      </c>
      <c r="O98" s="110">
        <f t="shared" si="100"/>
        <v>96.116860649856889</v>
      </c>
      <c r="P98" s="38">
        <f>P99+P100</f>
        <v>27650.334000000003</v>
      </c>
      <c r="Q98" s="38">
        <f t="shared" si="101"/>
        <v>-1073.7010000000009</v>
      </c>
      <c r="R98" s="110">
        <f t="shared" si="102"/>
        <v>96.116860649856889</v>
      </c>
      <c r="S98" s="110">
        <f t="shared" si="103"/>
        <v>96.116860649856889</v>
      </c>
      <c r="T98" s="38">
        <f>T99+T100</f>
        <v>34000</v>
      </c>
      <c r="U98" s="62">
        <f t="shared" si="105"/>
        <v>-7423.3669999999984</v>
      </c>
      <c r="V98" s="63">
        <f t="shared" si="125"/>
        <v>78.166567647058827</v>
      </c>
    </row>
    <row r="99" spans="1:24" s="7" customFormat="1" ht="31.5" customHeight="1" x14ac:dyDescent="0.25">
      <c r="A99" s="13"/>
      <c r="B99" s="16" t="s">
        <v>95</v>
      </c>
      <c r="C99" s="16"/>
      <c r="D99" s="132">
        <f>D94</f>
        <v>17390</v>
      </c>
      <c r="E99" s="132">
        <f>E94</f>
        <v>17390</v>
      </c>
      <c r="F99" s="132">
        <f t="shared" si="96"/>
        <v>16316.299000000001</v>
      </c>
      <c r="G99" s="132">
        <f t="shared" ref="G99:M100" si="128">G94</f>
        <v>0</v>
      </c>
      <c r="H99" s="132">
        <f t="shared" si="128"/>
        <v>0</v>
      </c>
      <c r="I99" s="132">
        <f t="shared" ref="I99:K99" si="129">I94</f>
        <v>130.697</v>
      </c>
      <c r="J99" s="132">
        <f t="shared" si="129"/>
        <v>0</v>
      </c>
      <c r="K99" s="132">
        <f t="shared" si="129"/>
        <v>0</v>
      </c>
      <c r="L99" s="132">
        <f t="shared" si="128"/>
        <v>16185.602000000001</v>
      </c>
      <c r="M99" s="132">
        <f t="shared" si="128"/>
        <v>17390</v>
      </c>
      <c r="N99" s="132">
        <f t="shared" si="99"/>
        <v>-1073.7009999999991</v>
      </c>
      <c r="O99" s="115">
        <f t="shared" si="100"/>
        <v>93.825756181713643</v>
      </c>
      <c r="P99" s="132">
        <f>P94</f>
        <v>17390</v>
      </c>
      <c r="Q99" s="132">
        <f t="shared" si="101"/>
        <v>-1073.7009999999991</v>
      </c>
      <c r="R99" s="115">
        <f t="shared" si="102"/>
        <v>93.825756181713643</v>
      </c>
      <c r="S99" s="115">
        <f t="shared" si="103"/>
        <v>93.825756181713643</v>
      </c>
      <c r="T99" s="132">
        <f>T94</f>
        <v>34000</v>
      </c>
      <c r="U99" s="130">
        <f t="shared" si="105"/>
        <v>-17683.701000000001</v>
      </c>
      <c r="V99" s="131">
        <f t="shared" si="125"/>
        <v>47.989114705882358</v>
      </c>
    </row>
    <row r="100" spans="1:24" s="7" customFormat="1" ht="31.5" customHeight="1" x14ac:dyDescent="0.25">
      <c r="A100" s="13"/>
      <c r="B100" s="105" t="s">
        <v>94</v>
      </c>
      <c r="C100" s="16"/>
      <c r="D100" s="132"/>
      <c r="E100" s="132">
        <f>E95</f>
        <v>10260.334000000001</v>
      </c>
      <c r="F100" s="132">
        <f t="shared" si="96"/>
        <v>10260.334000000001</v>
      </c>
      <c r="G100" s="132">
        <f t="shared" si="128"/>
        <v>0</v>
      </c>
      <c r="H100" s="132">
        <f t="shared" si="128"/>
        <v>10260.334000000001</v>
      </c>
      <c r="I100" s="132">
        <f t="shared" ref="I100:K100" si="130">I95</f>
        <v>0</v>
      </c>
      <c r="J100" s="132">
        <f t="shared" si="130"/>
        <v>0</v>
      </c>
      <c r="K100" s="132">
        <f t="shared" si="130"/>
        <v>0</v>
      </c>
      <c r="L100" s="132">
        <f t="shared" si="128"/>
        <v>0</v>
      </c>
      <c r="M100" s="132">
        <f>M95</f>
        <v>10260.334000000001</v>
      </c>
      <c r="N100" s="132">
        <f t="shared" si="99"/>
        <v>0</v>
      </c>
      <c r="O100" s="115">
        <f t="shared" si="100"/>
        <v>100</v>
      </c>
      <c r="P100" s="132">
        <f>P95</f>
        <v>10260.334000000001</v>
      </c>
      <c r="Q100" s="132">
        <f t="shared" si="101"/>
        <v>0</v>
      </c>
      <c r="R100" s="115">
        <f t="shared" ref="R100" si="131">F100/P100*100</f>
        <v>100</v>
      </c>
      <c r="S100" s="115">
        <f t="shared" ref="S100" si="132">F100/E100*100</f>
        <v>100</v>
      </c>
      <c r="T100" s="132">
        <v>0</v>
      </c>
      <c r="U100" s="130">
        <f t="shared" si="105"/>
        <v>10260.334000000001</v>
      </c>
      <c r="V100" s="131"/>
    </row>
    <row r="101" spans="1:24" s="111" customFormat="1" ht="39" x14ac:dyDescent="0.25">
      <c r="A101" s="32"/>
      <c r="B101" s="109" t="s">
        <v>190</v>
      </c>
      <c r="C101" s="25"/>
      <c r="D101" s="38">
        <f>D96</f>
        <v>0</v>
      </c>
      <c r="E101" s="38">
        <f>E96</f>
        <v>32619.324000000001</v>
      </c>
      <c r="F101" s="38">
        <f t="shared" si="96"/>
        <v>32619.324000000001</v>
      </c>
      <c r="G101" s="38">
        <f>G96</f>
        <v>24369.562000000002</v>
      </c>
      <c r="H101" s="38">
        <f t="shared" ref="H101:L101" si="133">H96</f>
        <v>0</v>
      </c>
      <c r="I101" s="38">
        <f t="shared" ref="I101:K101" si="134">I96</f>
        <v>0</v>
      </c>
      <c r="J101" s="38">
        <f t="shared" si="134"/>
        <v>0</v>
      </c>
      <c r="K101" s="38">
        <f t="shared" si="134"/>
        <v>8249.7620000000006</v>
      </c>
      <c r="L101" s="38">
        <f t="shared" si="133"/>
        <v>0</v>
      </c>
      <c r="M101" s="38">
        <f>M96</f>
        <v>32619.324000000001</v>
      </c>
      <c r="N101" s="38">
        <f t="shared" ref="N101" si="135">F101-M101</f>
        <v>0</v>
      </c>
      <c r="O101" s="110">
        <f t="shared" ref="O101" si="136">F101/M101*100</f>
        <v>100</v>
      </c>
      <c r="P101" s="38">
        <f>P96</f>
        <v>32619.324000000001</v>
      </c>
      <c r="Q101" s="38">
        <f t="shared" ref="Q101" si="137">F101-P101</f>
        <v>0</v>
      </c>
      <c r="R101" s="110">
        <f t="shared" ref="R101" si="138">F101/P101*100</f>
        <v>100</v>
      </c>
      <c r="S101" s="110">
        <f t="shared" ref="S101" si="139">F101/E101*100</f>
        <v>100</v>
      </c>
      <c r="T101" s="38"/>
      <c r="U101" s="62">
        <f t="shared" si="105"/>
        <v>32619.324000000001</v>
      </c>
      <c r="V101" s="63"/>
    </row>
    <row r="102" spans="1:24" s="179" customFormat="1" ht="45" customHeight="1" x14ac:dyDescent="0.3">
      <c r="A102" s="171"/>
      <c r="B102" s="172" t="s">
        <v>42</v>
      </c>
      <c r="C102" s="183"/>
      <c r="D102" s="174">
        <f>D93+D97</f>
        <v>230762.508</v>
      </c>
      <c r="E102" s="174">
        <f>E93+E97</f>
        <v>273642.16600000003</v>
      </c>
      <c r="F102" s="174">
        <f>SUM(G102:L102)</f>
        <v>232135.41099999999</v>
      </c>
      <c r="G102" s="174">
        <f>G93+G97</f>
        <v>64833.028999999995</v>
      </c>
      <c r="H102" s="174">
        <f t="shared" ref="H102:L102" si="140">H93+H97</f>
        <v>40265.142</v>
      </c>
      <c r="I102" s="174">
        <f t="shared" ref="I102:K102" si="141">I93+I97</f>
        <v>25221.572</v>
      </c>
      <c r="J102" s="174">
        <f t="shared" si="141"/>
        <v>23388.939999999995</v>
      </c>
      <c r="K102" s="174">
        <f t="shared" si="141"/>
        <v>30456.351000000002</v>
      </c>
      <c r="L102" s="174">
        <f t="shared" si="140"/>
        <v>47970.377</v>
      </c>
      <c r="M102" s="174">
        <f t="shared" ref="M102" si="142">M93+M97</f>
        <v>147730.30799999999</v>
      </c>
      <c r="N102" s="174">
        <f t="shared" si="99"/>
        <v>84405.103000000003</v>
      </c>
      <c r="O102" s="175">
        <f t="shared" si="100"/>
        <v>157.13458811715196</v>
      </c>
      <c r="P102" s="174">
        <f>P93+P97</f>
        <v>166955.91200000001</v>
      </c>
      <c r="Q102" s="174">
        <f t="shared" si="101"/>
        <v>65179.498999999982</v>
      </c>
      <c r="R102" s="175">
        <f t="shared" si="102"/>
        <v>139.03994666568019</v>
      </c>
      <c r="S102" s="175">
        <f t="shared" si="103"/>
        <v>84.831740076198628</v>
      </c>
      <c r="T102" s="174">
        <f>T93+T97</f>
        <v>167961.61000000002</v>
      </c>
      <c r="U102" s="184">
        <f>F102-T102</f>
        <v>64173.800999999978</v>
      </c>
      <c r="V102" s="177">
        <f>F102/T102*100</f>
        <v>138.20742192218805</v>
      </c>
      <c r="W102" s="174">
        <v>167961.61</v>
      </c>
      <c r="X102" s="174">
        <f>W102-T102</f>
        <v>0</v>
      </c>
    </row>
    <row r="103" spans="1:24" s="12" customFormat="1" ht="26.25" customHeight="1" x14ac:dyDescent="0.25">
      <c r="A103" s="157" t="s">
        <v>41</v>
      </c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9"/>
    </row>
    <row r="104" spans="1:24" s="179" customFormat="1" ht="52.5" customHeight="1" x14ac:dyDescent="0.3">
      <c r="A104" s="185"/>
      <c r="B104" s="172" t="s">
        <v>148</v>
      </c>
      <c r="C104" s="183"/>
      <c r="D104" s="174">
        <f>D53+D93</f>
        <v>5433122.8850000007</v>
      </c>
      <c r="E104" s="174">
        <f>E53+E93</f>
        <v>5516728.6730000013</v>
      </c>
      <c r="F104" s="174">
        <f t="shared" si="96"/>
        <v>2831926.0269999998</v>
      </c>
      <c r="G104" s="174">
        <f t="shared" ref="G104:M104" si="143">G53+G93</f>
        <v>467209.30700000015</v>
      </c>
      <c r="H104" s="174">
        <f t="shared" si="143"/>
        <v>475494.32199999999</v>
      </c>
      <c r="I104" s="174">
        <f t="shared" si="143"/>
        <v>402796.54900000012</v>
      </c>
      <c r="J104" s="174">
        <f t="shared" si="143"/>
        <v>504565.35999999987</v>
      </c>
      <c r="K104" s="174">
        <f t="shared" si="143"/>
        <v>517199.76300000004</v>
      </c>
      <c r="L104" s="174">
        <f t="shared" si="143"/>
        <v>464660.72600000002</v>
      </c>
      <c r="M104" s="174">
        <f t="shared" si="143"/>
        <v>2643363.6629999997</v>
      </c>
      <c r="N104" s="174">
        <f t="shared" ref="N104:N116" si="144">F104-M104</f>
        <v>188562.36400000006</v>
      </c>
      <c r="O104" s="175">
        <f t="shared" ref="O104:O116" si="145">F104/M104*100</f>
        <v>107.13342498572433</v>
      </c>
      <c r="P104" s="174">
        <f>P53+P93</f>
        <v>2758364.3365000007</v>
      </c>
      <c r="Q104" s="174">
        <f t="shared" ref="Q104:Q116" si="146">F104-P104</f>
        <v>73561.690499999095</v>
      </c>
      <c r="R104" s="175">
        <f t="shared" ref="R104:R116" si="147">F104/P104*100</f>
        <v>102.66685910655802</v>
      </c>
      <c r="S104" s="175">
        <f t="shared" ref="S104:S116" si="148">F104/E104*100</f>
        <v>51.333429553279011</v>
      </c>
      <c r="T104" s="174">
        <f>T53+T93</f>
        <v>2727058.7439999999</v>
      </c>
      <c r="U104" s="176">
        <f>F104-T104</f>
        <v>104867.28299999982</v>
      </c>
      <c r="V104" s="177">
        <f>F104/T104*100</f>
        <v>103.84543542491433</v>
      </c>
    </row>
    <row r="105" spans="1:24" s="179" customFormat="1" ht="57" hidden="1" customHeight="1" x14ac:dyDescent="0.3">
      <c r="A105" s="185"/>
      <c r="B105" s="172" t="s">
        <v>171</v>
      </c>
      <c r="C105" s="183"/>
      <c r="D105" s="174">
        <f>D104</f>
        <v>5433122.8850000007</v>
      </c>
      <c r="E105" s="174">
        <f>E104</f>
        <v>5516728.6730000013</v>
      </c>
      <c r="F105" s="174">
        <f t="shared" si="96"/>
        <v>2831926.0269999998</v>
      </c>
      <c r="G105" s="174">
        <f t="shared" ref="G105:M105" si="149">G104</f>
        <v>467209.30700000015</v>
      </c>
      <c r="H105" s="174">
        <f t="shared" si="149"/>
        <v>475494.32199999999</v>
      </c>
      <c r="I105" s="174">
        <f t="shared" si="149"/>
        <v>402796.54900000012</v>
      </c>
      <c r="J105" s="174">
        <f t="shared" si="149"/>
        <v>504565.35999999987</v>
      </c>
      <c r="K105" s="174">
        <f t="shared" ref="K105" si="150">K104</f>
        <v>517199.76300000004</v>
      </c>
      <c r="L105" s="174">
        <f t="shared" si="149"/>
        <v>464660.72600000002</v>
      </c>
      <c r="M105" s="174">
        <f t="shared" si="149"/>
        <v>2643363.6629999997</v>
      </c>
      <c r="N105" s="174">
        <f t="shared" ref="N105" si="151">F105-M105</f>
        <v>188562.36400000006</v>
      </c>
      <c r="O105" s="175">
        <f t="shared" ref="O105" si="152">F105/M105*100</f>
        <v>107.13342498572433</v>
      </c>
      <c r="P105" s="174">
        <f>P104</f>
        <v>2758364.3365000007</v>
      </c>
      <c r="Q105" s="174">
        <f t="shared" ref="Q105" si="153">F105-P105</f>
        <v>73561.690499999095</v>
      </c>
      <c r="R105" s="175">
        <f t="shared" ref="R105" si="154">F105/P105*100</f>
        <v>102.66685910655802</v>
      </c>
      <c r="S105" s="175">
        <f t="shared" ref="S105" si="155">F105/E105*100</f>
        <v>51.333429553279011</v>
      </c>
      <c r="T105" s="174">
        <f>T93+T54</f>
        <v>2287891.409</v>
      </c>
      <c r="U105" s="176">
        <f>F105-T105</f>
        <v>544034.61799999978</v>
      </c>
      <c r="V105" s="177">
        <f>F105/T105*100</f>
        <v>123.77886537183984</v>
      </c>
    </row>
    <row r="106" spans="1:24" s="30" customFormat="1" ht="22.5" hidden="1" x14ac:dyDescent="0.3">
      <c r="A106" s="186"/>
      <c r="B106" s="15"/>
      <c r="C106" s="25"/>
      <c r="D106" s="38"/>
      <c r="E106" s="38"/>
      <c r="F106" s="38">
        <f t="shared" si="96"/>
        <v>0</v>
      </c>
      <c r="G106" s="38"/>
      <c r="H106" s="38"/>
      <c r="I106" s="38"/>
      <c r="J106" s="38"/>
      <c r="K106" s="38"/>
      <c r="L106" s="38"/>
      <c r="M106" s="38"/>
      <c r="N106" s="38"/>
      <c r="O106" s="110"/>
      <c r="P106" s="38"/>
      <c r="Q106" s="38"/>
      <c r="R106" s="110"/>
      <c r="S106" s="110"/>
      <c r="T106" s="38"/>
      <c r="U106" s="62"/>
      <c r="V106" s="63"/>
    </row>
    <row r="107" spans="1:24" s="30" customFormat="1" ht="22.5" hidden="1" x14ac:dyDescent="0.3">
      <c r="A107" s="11"/>
      <c r="B107" s="15"/>
      <c r="C107" s="25"/>
      <c r="D107" s="38"/>
      <c r="E107" s="38"/>
      <c r="F107" s="38">
        <f t="shared" si="96"/>
        <v>0</v>
      </c>
      <c r="G107" s="38"/>
      <c r="H107" s="38"/>
      <c r="I107" s="38"/>
      <c r="J107" s="38"/>
      <c r="K107" s="38"/>
      <c r="L107" s="38"/>
      <c r="M107" s="38"/>
      <c r="N107" s="38"/>
      <c r="O107" s="110"/>
      <c r="P107" s="38"/>
      <c r="Q107" s="38"/>
      <c r="R107" s="110"/>
      <c r="S107" s="110"/>
      <c r="T107" s="38"/>
      <c r="U107" s="62"/>
      <c r="V107" s="63"/>
    </row>
    <row r="108" spans="1:24" s="39" customFormat="1" ht="37.5" customHeight="1" x14ac:dyDescent="0.3">
      <c r="A108" s="169"/>
      <c r="B108" s="40" t="s">
        <v>27</v>
      </c>
      <c r="C108" s="37"/>
      <c r="D108" s="38">
        <f>D109+D110+D111+D114</f>
        <v>921893.46699999995</v>
      </c>
      <c r="E108" s="38">
        <f>E109+E110+E111+E114</f>
        <v>968849.05299999996</v>
      </c>
      <c r="F108" s="38">
        <f t="shared" si="96"/>
        <v>595691.147</v>
      </c>
      <c r="G108" s="38">
        <f t="shared" ref="G108:M108" si="156">G109+G110+G111+G114</f>
        <v>89879.024000000005</v>
      </c>
      <c r="H108" s="38">
        <f t="shared" si="156"/>
        <v>76455.286999999997</v>
      </c>
      <c r="I108" s="38">
        <f t="shared" ref="I108:K108" si="157">I109+I110+I111+I114</f>
        <v>70826.703999999998</v>
      </c>
      <c r="J108" s="38">
        <f t="shared" si="157"/>
        <v>81160.876000000004</v>
      </c>
      <c r="K108" s="38">
        <f t="shared" si="157"/>
        <v>87802.06</v>
      </c>
      <c r="L108" s="38">
        <f t="shared" si="156"/>
        <v>189567.19600000003</v>
      </c>
      <c r="M108" s="38">
        <f t="shared" si="156"/>
        <v>596896.26599999995</v>
      </c>
      <c r="N108" s="38">
        <f t="shared" si="144"/>
        <v>-1205.1189999999478</v>
      </c>
      <c r="O108" s="110">
        <f t="shared" si="145"/>
        <v>99.798102439461417</v>
      </c>
      <c r="P108" s="38">
        <f>P109+P110+P111+P114</f>
        <v>596659.16600000008</v>
      </c>
      <c r="Q108" s="38">
        <f t="shared" si="146"/>
        <v>-968.01900000008754</v>
      </c>
      <c r="R108" s="110">
        <f t="shared" si="147"/>
        <v>99.837760139261803</v>
      </c>
      <c r="S108" s="110">
        <f t="shared" si="148"/>
        <v>61.48441237109823</v>
      </c>
      <c r="T108" s="38">
        <f>T109+T110+T111+T114</f>
        <v>515408.63400000008</v>
      </c>
      <c r="U108" s="62">
        <f t="shared" ref="U108:U117" si="158">F108-T108</f>
        <v>80282.512999999919</v>
      </c>
      <c r="V108" s="63">
        <f>F108/T108*100</f>
        <v>115.57647809989926</v>
      </c>
    </row>
    <row r="109" spans="1:24" s="39" customFormat="1" ht="40.5" customHeight="1" x14ac:dyDescent="0.3">
      <c r="A109" s="98"/>
      <c r="B109" s="97" t="s">
        <v>132</v>
      </c>
      <c r="C109" s="37"/>
      <c r="D109" s="38">
        <f>D73</f>
        <v>0</v>
      </c>
      <c r="E109" s="38">
        <f>E73</f>
        <v>0</v>
      </c>
      <c r="F109" s="38">
        <f t="shared" si="96"/>
        <v>0</v>
      </c>
      <c r="G109" s="38">
        <f t="shared" ref="G109:M110" si="159">G73</f>
        <v>0</v>
      </c>
      <c r="H109" s="38">
        <f t="shared" si="159"/>
        <v>0</v>
      </c>
      <c r="I109" s="38">
        <f t="shared" si="159"/>
        <v>0</v>
      </c>
      <c r="J109" s="38">
        <f t="shared" si="159"/>
        <v>0</v>
      </c>
      <c r="K109" s="38">
        <f t="shared" si="159"/>
        <v>0</v>
      </c>
      <c r="L109" s="38">
        <f t="shared" si="159"/>
        <v>0</v>
      </c>
      <c r="M109" s="38">
        <f t="shared" si="159"/>
        <v>0</v>
      </c>
      <c r="N109" s="38">
        <f t="shared" si="144"/>
        <v>0</v>
      </c>
      <c r="O109" s="110"/>
      <c r="P109" s="38">
        <f>P73</f>
        <v>0</v>
      </c>
      <c r="Q109" s="38">
        <f t="shared" si="146"/>
        <v>0</v>
      </c>
      <c r="R109" s="110"/>
      <c r="S109" s="110"/>
      <c r="T109" s="38">
        <f>T73</f>
        <v>5497.8</v>
      </c>
      <c r="U109" s="62">
        <f t="shared" si="158"/>
        <v>-5497.8</v>
      </c>
      <c r="V109" s="63"/>
    </row>
    <row r="110" spans="1:24" s="39" customFormat="1" ht="44.25" customHeight="1" x14ac:dyDescent="0.3">
      <c r="A110" s="98"/>
      <c r="B110" s="97" t="s">
        <v>104</v>
      </c>
      <c r="C110" s="37"/>
      <c r="D110" s="38">
        <f>D74</f>
        <v>0</v>
      </c>
      <c r="E110" s="38">
        <f>E74</f>
        <v>2856.1129999999998</v>
      </c>
      <c r="F110" s="38">
        <f t="shared" si="96"/>
        <v>2856.1130000000003</v>
      </c>
      <c r="G110" s="38">
        <f t="shared" si="159"/>
        <v>0</v>
      </c>
      <c r="H110" s="38">
        <f t="shared" si="159"/>
        <v>561.92399999999998</v>
      </c>
      <c r="I110" s="38">
        <f t="shared" si="159"/>
        <v>0</v>
      </c>
      <c r="J110" s="38">
        <f t="shared" si="159"/>
        <v>1564.171</v>
      </c>
      <c r="K110" s="38">
        <f t="shared" si="159"/>
        <v>0</v>
      </c>
      <c r="L110" s="38">
        <f t="shared" si="159"/>
        <v>730.01800000000003</v>
      </c>
      <c r="M110" s="38">
        <f t="shared" si="159"/>
        <v>2856.1129999999998</v>
      </c>
      <c r="N110" s="38">
        <f t="shared" si="144"/>
        <v>0</v>
      </c>
      <c r="O110" s="110">
        <f t="shared" si="145"/>
        <v>100.00000000000003</v>
      </c>
      <c r="P110" s="38">
        <f>P74</f>
        <v>2856.1129999999998</v>
      </c>
      <c r="Q110" s="38">
        <f t="shared" si="146"/>
        <v>0</v>
      </c>
      <c r="R110" s="110">
        <f t="shared" ref="R110" si="160">F110/P110*100</f>
        <v>100.00000000000003</v>
      </c>
      <c r="S110" s="110">
        <f t="shared" ref="S110" si="161">F110/E110*100</f>
        <v>100.00000000000003</v>
      </c>
      <c r="T110" s="38">
        <f>T74</f>
        <v>3201.0839999999998</v>
      </c>
      <c r="U110" s="62">
        <f t="shared" si="158"/>
        <v>-344.97099999999955</v>
      </c>
      <c r="V110" s="63">
        <f>F110/T110*100</f>
        <v>89.223306854802956</v>
      </c>
    </row>
    <row r="111" spans="1:24" s="39" customFormat="1" ht="37.5" customHeight="1" x14ac:dyDescent="0.3">
      <c r="A111" s="98"/>
      <c r="B111" s="40" t="s">
        <v>69</v>
      </c>
      <c r="C111" s="37"/>
      <c r="D111" s="38">
        <f>D112+D113</f>
        <v>921893.46699999995</v>
      </c>
      <c r="E111" s="38">
        <f t="shared" ref="E111" si="162">E112+E113</f>
        <v>933373.61599999992</v>
      </c>
      <c r="F111" s="38">
        <f t="shared" si="96"/>
        <v>560215.71</v>
      </c>
      <c r="G111" s="38">
        <f t="shared" ref="G111:M111" si="163">G112+G113</f>
        <v>65509.462</v>
      </c>
      <c r="H111" s="38">
        <f t="shared" ref="H111:L111" si="164">H112+H113</f>
        <v>75893.362999999998</v>
      </c>
      <c r="I111" s="38">
        <f t="shared" ref="I111:K111" si="165">I112+I113</f>
        <v>70826.703999999998</v>
      </c>
      <c r="J111" s="38">
        <f t="shared" si="165"/>
        <v>79596.705000000002</v>
      </c>
      <c r="K111" s="38">
        <f t="shared" si="165"/>
        <v>79552.297999999995</v>
      </c>
      <c r="L111" s="38">
        <f t="shared" si="164"/>
        <v>188837.17800000001</v>
      </c>
      <c r="M111" s="38">
        <f t="shared" si="163"/>
        <v>561420.82899999991</v>
      </c>
      <c r="N111" s="38">
        <f t="shared" si="144"/>
        <v>-1205.1189999999478</v>
      </c>
      <c r="O111" s="110">
        <f t="shared" si="145"/>
        <v>99.785344800593435</v>
      </c>
      <c r="P111" s="38">
        <f t="shared" ref="P111" si="166">P112+P113</f>
        <v>561183.72900000005</v>
      </c>
      <c r="Q111" s="38">
        <f t="shared" si="146"/>
        <v>-968.01900000008754</v>
      </c>
      <c r="R111" s="110">
        <f t="shared" si="147"/>
        <v>99.827504086455775</v>
      </c>
      <c r="S111" s="110">
        <f t="shared" si="148"/>
        <v>60.02052130001497</v>
      </c>
      <c r="T111" s="38">
        <f t="shared" ref="T111" si="167">T112+T113</f>
        <v>506709.75000000006</v>
      </c>
      <c r="U111" s="62">
        <f t="shared" si="158"/>
        <v>53505.959999999905</v>
      </c>
      <c r="V111" s="63">
        <f>F111/T111*100</f>
        <v>110.55948893819389</v>
      </c>
    </row>
    <row r="112" spans="1:24" s="101" customFormat="1" ht="34.5" customHeight="1" x14ac:dyDescent="0.35">
      <c r="A112" s="99"/>
      <c r="B112" s="100" t="s">
        <v>95</v>
      </c>
      <c r="C112" s="100"/>
      <c r="D112" s="132">
        <f>D76+D99</f>
        <v>896476.1</v>
      </c>
      <c r="E112" s="132">
        <f>E76+E99</f>
        <v>897317.1</v>
      </c>
      <c r="F112" s="132">
        <f t="shared" si="96"/>
        <v>534909.69900000002</v>
      </c>
      <c r="G112" s="132">
        <f t="shared" ref="G112:M112" si="168">G76+G99</f>
        <v>63808.4</v>
      </c>
      <c r="H112" s="132">
        <f t="shared" si="168"/>
        <v>63802.3</v>
      </c>
      <c r="I112" s="132">
        <f t="shared" si="168"/>
        <v>68667.997000000003</v>
      </c>
      <c r="J112" s="132">
        <f t="shared" si="168"/>
        <v>77227.5</v>
      </c>
      <c r="K112" s="132">
        <f t="shared" si="168"/>
        <v>77274.399999999994</v>
      </c>
      <c r="L112" s="132">
        <f t="shared" si="168"/>
        <v>184129.10200000001</v>
      </c>
      <c r="M112" s="132">
        <f t="shared" si="168"/>
        <v>535983.39999999991</v>
      </c>
      <c r="N112" s="132">
        <f t="shared" si="144"/>
        <v>-1073.7009999998845</v>
      </c>
      <c r="O112" s="115">
        <f t="shared" si="145"/>
        <v>99.79967644520336</v>
      </c>
      <c r="P112" s="132">
        <f>P76+P99</f>
        <v>535746.30000000005</v>
      </c>
      <c r="Q112" s="132">
        <f t="shared" si="146"/>
        <v>-836.60100000002421</v>
      </c>
      <c r="R112" s="115">
        <f t="shared" si="147"/>
        <v>99.843843811893791</v>
      </c>
      <c r="S112" s="115">
        <f t="shared" si="148"/>
        <v>59.612114713962328</v>
      </c>
      <c r="T112" s="132">
        <f>T76+T99</f>
        <v>489980.50000000006</v>
      </c>
      <c r="U112" s="130">
        <f t="shared" si="158"/>
        <v>44929.198999999964</v>
      </c>
      <c r="V112" s="131">
        <f>F112/T112*100</f>
        <v>109.16958919793747</v>
      </c>
    </row>
    <row r="113" spans="1:24" s="101" customFormat="1" ht="34.5" customHeight="1" x14ac:dyDescent="0.35">
      <c r="A113" s="99"/>
      <c r="B113" s="100" t="s">
        <v>94</v>
      </c>
      <c r="C113" s="100"/>
      <c r="D113" s="132">
        <f>D100+D77</f>
        <v>25417.366999999998</v>
      </c>
      <c r="E113" s="132">
        <f>E100+E77</f>
        <v>36056.516000000003</v>
      </c>
      <c r="F113" s="132">
        <f t="shared" si="96"/>
        <v>25306.011000000002</v>
      </c>
      <c r="G113" s="132">
        <f t="shared" ref="G113:M113" si="169">G100+G77</f>
        <v>1701.0619999999999</v>
      </c>
      <c r="H113" s="132">
        <f t="shared" si="169"/>
        <v>12091.063</v>
      </c>
      <c r="I113" s="132">
        <f t="shared" si="169"/>
        <v>2158.7069999999999</v>
      </c>
      <c r="J113" s="132">
        <f t="shared" si="169"/>
        <v>2369.2049999999999</v>
      </c>
      <c r="K113" s="132">
        <f t="shared" si="169"/>
        <v>2277.8980000000001</v>
      </c>
      <c r="L113" s="132">
        <f t="shared" si="169"/>
        <v>4708.0760000000009</v>
      </c>
      <c r="M113" s="132">
        <f t="shared" si="169"/>
        <v>25437.429</v>
      </c>
      <c r="N113" s="132">
        <f t="shared" si="144"/>
        <v>-131.41799999999785</v>
      </c>
      <c r="O113" s="115">
        <f t="shared" si="145"/>
        <v>99.483367599768044</v>
      </c>
      <c r="P113" s="132">
        <f>P100+P77</f>
        <v>25437.429</v>
      </c>
      <c r="Q113" s="132">
        <f t="shared" si="146"/>
        <v>-131.41799999999785</v>
      </c>
      <c r="R113" s="115">
        <f t="shared" si="147"/>
        <v>99.483367599768044</v>
      </c>
      <c r="S113" s="115">
        <f t="shared" si="148"/>
        <v>70.184293457526508</v>
      </c>
      <c r="T113" s="132">
        <f>T100+T77</f>
        <v>16729.25</v>
      </c>
      <c r="U113" s="130">
        <f t="shared" si="158"/>
        <v>8576.7610000000022</v>
      </c>
      <c r="V113" s="131">
        <f>F113/T113*100</f>
        <v>151.26805445551955</v>
      </c>
    </row>
    <row r="114" spans="1:24" s="111" customFormat="1" ht="70.5" customHeight="1" x14ac:dyDescent="0.25">
      <c r="A114" s="32"/>
      <c r="B114" s="109" t="s">
        <v>190</v>
      </c>
      <c r="C114" s="25"/>
      <c r="D114" s="38">
        <f>D101</f>
        <v>0</v>
      </c>
      <c r="E114" s="38">
        <f>E101</f>
        <v>32619.324000000001</v>
      </c>
      <c r="F114" s="38">
        <f t="shared" ref="F114" si="170">SUM(G114:L114)</f>
        <v>32619.324000000001</v>
      </c>
      <c r="G114" s="38">
        <f t="shared" ref="G114:M114" si="171">G101</f>
        <v>24369.562000000002</v>
      </c>
      <c r="H114" s="38">
        <f t="shared" si="171"/>
        <v>0</v>
      </c>
      <c r="I114" s="38">
        <f t="shared" si="171"/>
        <v>0</v>
      </c>
      <c r="J114" s="38">
        <f t="shared" si="171"/>
        <v>0</v>
      </c>
      <c r="K114" s="38">
        <f t="shared" si="171"/>
        <v>8249.7620000000006</v>
      </c>
      <c r="L114" s="38">
        <f t="shared" si="171"/>
        <v>0</v>
      </c>
      <c r="M114" s="38">
        <f t="shared" si="171"/>
        <v>32619.324000000001</v>
      </c>
      <c r="N114" s="38">
        <f t="shared" si="144"/>
        <v>0</v>
      </c>
      <c r="O114" s="110">
        <f t="shared" si="145"/>
        <v>100</v>
      </c>
      <c r="P114" s="134">
        <f>P101</f>
        <v>32619.324000000001</v>
      </c>
      <c r="Q114" s="38">
        <f t="shared" si="146"/>
        <v>0</v>
      </c>
      <c r="R114" s="110">
        <f t="shared" si="147"/>
        <v>100</v>
      </c>
      <c r="S114" s="110">
        <f t="shared" si="148"/>
        <v>100</v>
      </c>
      <c r="T114" s="38">
        <f>T101</f>
        <v>0</v>
      </c>
      <c r="U114" s="62">
        <f t="shared" si="158"/>
        <v>32619.324000000001</v>
      </c>
      <c r="V114" s="63"/>
    </row>
    <row r="115" spans="1:24" x14ac:dyDescent="0.2">
      <c r="A115" s="135"/>
      <c r="B115" s="135"/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6"/>
      <c r="V115" s="135"/>
    </row>
    <row r="116" spans="1:24" s="179" customFormat="1" ht="55.5" customHeight="1" x14ac:dyDescent="0.3">
      <c r="A116" s="185"/>
      <c r="B116" s="172" t="s">
        <v>119</v>
      </c>
      <c r="C116" s="183"/>
      <c r="D116" s="174">
        <f>D104+D108</f>
        <v>6355016.3520000009</v>
      </c>
      <c r="E116" s="174">
        <f>E104+E108</f>
        <v>6485577.7260000017</v>
      </c>
      <c r="F116" s="174">
        <f t="shared" si="96"/>
        <v>3427617.1740000006</v>
      </c>
      <c r="G116" s="174">
        <f t="shared" ref="G116:M116" si="172">G104+G108</f>
        <v>557088.33100000012</v>
      </c>
      <c r="H116" s="174">
        <f t="shared" si="172"/>
        <v>551949.60899999994</v>
      </c>
      <c r="I116" s="174">
        <f t="shared" si="172"/>
        <v>473623.25300000014</v>
      </c>
      <c r="J116" s="174">
        <f t="shared" si="172"/>
        <v>585726.23599999992</v>
      </c>
      <c r="K116" s="174">
        <f t="shared" si="172"/>
        <v>605001.82300000009</v>
      </c>
      <c r="L116" s="174">
        <f t="shared" si="172"/>
        <v>654227.92200000002</v>
      </c>
      <c r="M116" s="174">
        <f t="shared" si="172"/>
        <v>3240259.9289999995</v>
      </c>
      <c r="N116" s="174">
        <f t="shared" si="144"/>
        <v>187357.24500000104</v>
      </c>
      <c r="O116" s="175">
        <f t="shared" si="145"/>
        <v>105.7821671441594</v>
      </c>
      <c r="P116" s="174">
        <f>P104+P108</f>
        <v>3355023.5025000009</v>
      </c>
      <c r="Q116" s="174">
        <f t="shared" si="146"/>
        <v>72593.671499999706</v>
      </c>
      <c r="R116" s="175">
        <f t="shared" si="147"/>
        <v>102.16373063991672</v>
      </c>
      <c r="S116" s="175">
        <f t="shared" si="148"/>
        <v>52.849835724873707</v>
      </c>
      <c r="T116" s="174">
        <f>T104+T108</f>
        <v>3242467.378</v>
      </c>
      <c r="U116" s="176">
        <f t="shared" si="158"/>
        <v>185149.79600000056</v>
      </c>
      <c r="V116" s="177">
        <f>F116/T116*100</f>
        <v>105.71015138829874</v>
      </c>
      <c r="W116" s="187">
        <v>3242467.3780000005</v>
      </c>
      <c r="X116" s="174">
        <f>W116-T116</f>
        <v>0</v>
      </c>
    </row>
    <row r="117" spans="1:24" s="179" customFormat="1" ht="99" hidden="1" customHeight="1" x14ac:dyDescent="0.3">
      <c r="A117" s="185"/>
      <c r="B117" s="172" t="s">
        <v>161</v>
      </c>
      <c r="C117" s="183"/>
      <c r="D117" s="174">
        <f>D116</f>
        <v>6355016.3520000009</v>
      </c>
      <c r="E117" s="174">
        <f>E116</f>
        <v>6485577.7260000017</v>
      </c>
      <c r="F117" s="174">
        <f t="shared" si="96"/>
        <v>3427617.1740000006</v>
      </c>
      <c r="G117" s="174">
        <f t="shared" ref="G117:M117" si="173">G116</f>
        <v>557088.33100000012</v>
      </c>
      <c r="H117" s="174">
        <f t="shared" si="173"/>
        <v>551949.60899999994</v>
      </c>
      <c r="I117" s="174">
        <f t="shared" si="173"/>
        <v>473623.25300000014</v>
      </c>
      <c r="J117" s="174">
        <f t="shared" si="173"/>
        <v>585726.23599999992</v>
      </c>
      <c r="K117" s="174">
        <f t="shared" ref="K117" si="174">K116</f>
        <v>605001.82300000009</v>
      </c>
      <c r="L117" s="174">
        <f t="shared" si="173"/>
        <v>654227.92200000002</v>
      </c>
      <c r="M117" s="174">
        <f t="shared" si="173"/>
        <v>3240259.9289999995</v>
      </c>
      <c r="N117" s="174">
        <f t="shared" ref="N117" si="175">F117-M117</f>
        <v>187357.24500000104</v>
      </c>
      <c r="O117" s="175">
        <f t="shared" ref="O117" si="176">F117/M117*100</f>
        <v>105.7821671441594</v>
      </c>
      <c r="P117" s="174">
        <f>P116</f>
        <v>3355023.5025000009</v>
      </c>
      <c r="Q117" s="174">
        <f t="shared" ref="Q117" si="177">F117-P117</f>
        <v>72593.671499999706</v>
      </c>
      <c r="R117" s="175">
        <f t="shared" ref="R117" si="178">F117/P117*100</f>
        <v>102.16373063991672</v>
      </c>
      <c r="S117" s="175">
        <f t="shared" ref="S117" si="179">F117/E117*100</f>
        <v>52.849835724873707</v>
      </c>
      <c r="T117" s="174">
        <f>T102+T80</f>
        <v>2803300.0430000001</v>
      </c>
      <c r="U117" s="176">
        <f t="shared" si="158"/>
        <v>624317.13100000052</v>
      </c>
      <c r="V117" s="177">
        <f>F117/T117*100</f>
        <v>122.27079233130809</v>
      </c>
      <c r="W117" s="187"/>
      <c r="X117" s="174"/>
    </row>
    <row r="118" spans="1:24" s="14" customFormat="1" ht="150" customHeight="1" x14ac:dyDescent="0.4">
      <c r="A118" s="33"/>
      <c r="B118" s="153" t="s">
        <v>149</v>
      </c>
      <c r="C118" s="153"/>
      <c r="D118" s="153"/>
      <c r="E118" s="21"/>
      <c r="F118" s="21" t="s">
        <v>197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64"/>
      <c r="V118" s="65"/>
    </row>
    <row r="119" spans="1:24" s="7" customFormat="1" ht="18" customHeight="1" x14ac:dyDescent="0.45">
      <c r="A119" s="6"/>
      <c r="B119" s="29" t="s">
        <v>52</v>
      </c>
      <c r="C119" s="18"/>
      <c r="D119" s="18"/>
      <c r="E119" s="18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66"/>
      <c r="V119" s="67"/>
    </row>
    <row r="120" spans="1:24" s="7" customFormat="1" ht="30.75" hidden="1" x14ac:dyDescent="0.45">
      <c r="A120" s="6"/>
      <c r="B120" s="18"/>
      <c r="C120" s="18"/>
      <c r="D120" s="18"/>
      <c r="E120" s="92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66"/>
      <c r="V120" s="67"/>
    </row>
    <row r="121" spans="1:24" s="4" customFormat="1" ht="30.75" hidden="1" customHeight="1" x14ac:dyDescent="0.45">
      <c r="A121" s="27"/>
      <c r="B121" s="18"/>
      <c r="C121" s="18"/>
      <c r="D121" s="80">
        <v>6355016.352</v>
      </c>
      <c r="E121" s="80">
        <v>6485577.7259999998</v>
      </c>
      <c r="F121" s="80">
        <v>3427617.1740000001</v>
      </c>
      <c r="G121" s="81"/>
      <c r="H121" s="81"/>
      <c r="I121" s="81"/>
      <c r="J121" s="81"/>
      <c r="K121" s="81"/>
      <c r="L121" s="81"/>
      <c r="M121" s="80">
        <v>3240259.929</v>
      </c>
      <c r="N121" s="81"/>
      <c r="O121" s="81"/>
      <c r="P121" s="81"/>
      <c r="Q121" s="81"/>
      <c r="R121" s="81"/>
      <c r="S121" s="81"/>
      <c r="T121" s="80"/>
      <c r="U121" s="5"/>
    </row>
    <row r="122" spans="1:24" ht="12" hidden="1" customHeight="1" x14ac:dyDescent="0.45">
      <c r="B122" s="29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</row>
    <row r="123" spans="1:24" s="2" customFormat="1" ht="30.75" hidden="1" customHeight="1" x14ac:dyDescent="0.45">
      <c r="A123" s="28"/>
      <c r="B123" s="18"/>
      <c r="C123" s="18"/>
      <c r="D123" s="18"/>
      <c r="E123" s="18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139"/>
    </row>
    <row r="124" spans="1:24" s="2" customFormat="1" ht="30.75" hidden="1" customHeight="1" x14ac:dyDescent="0.45">
      <c r="A124" s="28"/>
      <c r="B124" s="18"/>
      <c r="C124" s="18"/>
      <c r="D124" s="18"/>
      <c r="E124" s="18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139"/>
    </row>
    <row r="125" spans="1:24" s="2" customFormat="1" ht="16.5" hidden="1" customHeight="1" x14ac:dyDescent="0.45">
      <c r="A125" s="28"/>
      <c r="B125" s="29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139"/>
    </row>
    <row r="126" spans="1:24" ht="18.75" hidden="1" x14ac:dyDescent="0.3">
      <c r="B126" s="27"/>
      <c r="D126" s="80">
        <f>D121-D116</f>
        <v>0</v>
      </c>
      <c r="E126" s="80">
        <f>E121-E116</f>
        <v>0</v>
      </c>
      <c r="F126" s="80">
        <f>F121-F116</f>
        <v>0</v>
      </c>
      <c r="M126" s="80">
        <f>M117-M121</f>
        <v>0</v>
      </c>
      <c r="T126" s="80"/>
    </row>
    <row r="127" spans="1:24" ht="18.75" hidden="1" x14ac:dyDescent="0.3">
      <c r="B127" s="27"/>
      <c r="D127" s="80"/>
      <c r="E127" s="80">
        <v>6466592.8619999997</v>
      </c>
      <c r="F127" s="80">
        <v>2773389.2519999999</v>
      </c>
    </row>
    <row r="128" spans="1:24" ht="18.75" hidden="1" x14ac:dyDescent="0.3">
      <c r="B128" s="27"/>
      <c r="D128" s="80"/>
      <c r="E128" s="80">
        <f>E127-E116</f>
        <v>-18984.864000001922</v>
      </c>
      <c r="F128" s="80">
        <f>F127-F116</f>
        <v>-654227.92200000072</v>
      </c>
      <c r="T128" s="80"/>
    </row>
    <row r="129" spans="2:47" ht="18.75" hidden="1" x14ac:dyDescent="0.3">
      <c r="B129" s="4"/>
      <c r="C129" s="3"/>
      <c r="D129" s="3"/>
      <c r="E129" s="3"/>
      <c r="N129" s="154" t="s">
        <v>49</v>
      </c>
      <c r="O129" s="154"/>
      <c r="P129" s="122">
        <f>E53/12*6</f>
        <v>2651678.0825000005</v>
      </c>
    </row>
    <row r="130" spans="2:47" ht="22.5" hidden="1" x14ac:dyDescent="0.3">
      <c r="B130" s="4"/>
      <c r="C130" s="3"/>
      <c r="D130" s="3"/>
      <c r="E130" s="93"/>
      <c r="F130" s="93"/>
      <c r="N130" s="139"/>
      <c r="O130" s="139"/>
      <c r="P130" s="122">
        <f>P129-P53</f>
        <v>0</v>
      </c>
      <c r="T130" s="93"/>
    </row>
    <row r="131" spans="2:47" ht="18.75" hidden="1" x14ac:dyDescent="0.3">
      <c r="B131" s="4"/>
      <c r="C131" s="3"/>
      <c r="D131" s="3"/>
      <c r="E131" s="3"/>
      <c r="N131" s="154" t="s">
        <v>50</v>
      </c>
      <c r="O131" s="154"/>
      <c r="P131" s="123">
        <f>E93/12*6</f>
        <v>106686.25400000002</v>
      </c>
    </row>
    <row r="132" spans="2:47" ht="18.75" hidden="1" x14ac:dyDescent="0.3">
      <c r="B132" s="4"/>
      <c r="C132" s="3"/>
      <c r="D132" s="3"/>
      <c r="E132" s="3"/>
      <c r="N132" s="139"/>
      <c r="O132" s="139"/>
      <c r="P132" s="122">
        <f>P131-P93</f>
        <v>0</v>
      </c>
      <c r="Q132" s="3" t="s">
        <v>189</v>
      </c>
    </row>
    <row r="133" spans="2:47" ht="18.75" hidden="1" x14ac:dyDescent="0.3">
      <c r="B133" s="94"/>
      <c r="C133" s="3"/>
      <c r="D133" s="3"/>
      <c r="E133" s="3"/>
      <c r="N133" s="154" t="s">
        <v>51</v>
      </c>
      <c r="O133" s="154"/>
      <c r="P133" s="122">
        <f>P131+P97</f>
        <v>166955.91200000001</v>
      </c>
    </row>
    <row r="134" spans="2:47" ht="18.75" hidden="1" x14ac:dyDescent="0.3">
      <c r="B134" s="4"/>
      <c r="C134" s="3"/>
      <c r="D134" s="3"/>
      <c r="E134" s="3"/>
      <c r="N134" s="139"/>
      <c r="O134" s="139"/>
      <c r="P134" s="122">
        <f>P133-P102</f>
        <v>0</v>
      </c>
    </row>
    <row r="135" spans="2:47" s="19" customFormat="1" ht="18.75" hidden="1" x14ac:dyDescent="0.3"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1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</row>
    <row r="136" spans="2:47" s="19" customFormat="1" ht="18.75" hidden="1" x14ac:dyDescent="0.3">
      <c r="B136" s="4"/>
      <c r="C136" s="3"/>
      <c r="D136" s="3"/>
      <c r="E136" s="81"/>
      <c r="F136" s="81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81"/>
      <c r="U136" s="1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</row>
    <row r="137" spans="2:47" s="19" customFormat="1" ht="18.75" hidden="1" x14ac:dyDescent="0.3">
      <c r="B137" s="4"/>
      <c r="C137" s="3"/>
      <c r="D137" s="138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1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</row>
    <row r="138" spans="2:47" s="19" customFormat="1" ht="18.75" hidden="1" x14ac:dyDescent="0.3"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1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</row>
    <row r="139" spans="2:47" s="19" customFormat="1" ht="22.5" x14ac:dyDescent="0.3">
      <c r="B139" s="4"/>
      <c r="C139" s="3"/>
      <c r="D139" s="9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1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</row>
    <row r="140" spans="2:47" s="19" customFormat="1" ht="18.75" x14ac:dyDescent="0.3">
      <c r="B140" s="4"/>
      <c r="C140" s="3"/>
      <c r="D140" s="3"/>
      <c r="E140" s="3"/>
      <c r="F140" s="8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81"/>
      <c r="U140" s="1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</row>
    <row r="141" spans="2:47" s="19" customFormat="1" ht="18.75" x14ac:dyDescent="0.3"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1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</row>
    <row r="142" spans="2:47" s="19" customFormat="1" ht="18.75" x14ac:dyDescent="0.3"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1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</row>
    <row r="143" spans="2:47" s="19" customFormat="1" ht="18.75" x14ac:dyDescent="0.3">
      <c r="B143" s="27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1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</row>
    <row r="144" spans="2:47" s="19" customFormat="1" ht="18.75" x14ac:dyDescent="0.3">
      <c r="B144" s="27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1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</row>
  </sheetData>
  <mergeCells count="38">
    <mergeCell ref="B118:D118"/>
    <mergeCell ref="N129:O129"/>
    <mergeCell ref="N131:O131"/>
    <mergeCell ref="N133:O133"/>
    <mergeCell ref="C17:C19"/>
    <mergeCell ref="C25:C27"/>
    <mergeCell ref="A53:C53"/>
    <mergeCell ref="A54:C54"/>
    <mergeCell ref="A103:V103"/>
    <mergeCell ref="A81:V81"/>
    <mergeCell ref="A6:V6"/>
    <mergeCell ref="A7:A9"/>
    <mergeCell ref="B9:C9"/>
    <mergeCell ref="O3:O4"/>
    <mergeCell ref="P3:P4"/>
    <mergeCell ref="Q3:Q4"/>
    <mergeCell ref="R3:R4"/>
    <mergeCell ref="S3:S4"/>
    <mergeCell ref="T3:T4"/>
    <mergeCell ref="H3:H4"/>
    <mergeCell ref="I3:I4"/>
    <mergeCell ref="K3:K4"/>
    <mergeCell ref="D8:E8"/>
    <mergeCell ref="M8:O8"/>
    <mergeCell ref="A1:V1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L3:L4"/>
    <mergeCell ref="U3:U4"/>
    <mergeCell ref="V3:V4"/>
    <mergeCell ref="J3:J4"/>
  </mergeCells>
  <printOptions horizontalCentered="1"/>
  <pageMargins left="0.39370078740157483" right="0" top="0" bottom="0" header="0.23622047244094491" footer="0.11811023622047245"/>
  <pageSetup paperSize="8" scale="58" fitToHeight="10" orientation="landscape" horizontalDpi="300" verticalDpi="300" r:id="rId1"/>
  <headerFooter alignWithMargins="0"/>
  <rowBreaks count="1" manualBreakCount="1">
    <brk id="80" max="2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І півріччя 2024</vt:lpstr>
      <vt:lpstr>'І півріччя 2024'!Заголовки_для_друку</vt:lpstr>
      <vt:lpstr>'І півріччя 2024'!Область_друку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2024-07-04T12:44:26Z</cp:lastPrinted>
  <dcterms:created xsi:type="dcterms:W3CDTF">1996-10-08T23:32:33Z</dcterms:created>
  <dcterms:modified xsi:type="dcterms:W3CDTF">2024-07-05T09:37:07Z</dcterms:modified>
</cp:coreProperties>
</file>